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SlALUwJ4QKs091wkGBBij1C4lNKw3k+5BZC8BGVt0H6/vTJhHrLPmmgYFs4TplQPVB0U9BM1BVFoVoCaw8Q/ng==" workbookSaltValue="QXLBio5/hGzfSNSiJDa6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5" i="2"/>
  <c r="L17" i="2"/>
  <c r="X10" i="21"/>
  <c r="X15" i="16"/>
  <c r="X18" i="16" s="1"/>
  <c r="AA11" i="16"/>
  <c r="V10" i="16"/>
  <c r="L9" i="2"/>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U19" i="8"/>
  <c r="AE13" i="17"/>
  <c r="R19" i="8"/>
  <c r="BG10" i="8"/>
  <c r="BG9" i="8"/>
  <c r="K9" i="7" s="1"/>
  <c r="BE9" i="8"/>
  <c r="T19" i="8"/>
  <c r="H9" i="7"/>
  <c r="F17" i="17"/>
  <c r="AQ17" i="17" s="1"/>
  <c r="S10" i="14"/>
  <c r="V10" i="14" s="1"/>
  <c r="S17" i="14"/>
  <c r="V17" i="14" s="1"/>
  <c r="R10" i="14"/>
  <c r="R12" i="14"/>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K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V20" i="20"/>
  <c r="AW20" i="11"/>
  <c r="AV20" i="21"/>
  <c r="U17" i="11"/>
  <c r="AB20" i="20"/>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K20" i="16"/>
  <c r="AA20" i="11"/>
  <c r="N20" i="17"/>
  <c r="F20" i="16"/>
  <c r="AW20" i="17"/>
  <c r="AU20" i="16"/>
  <c r="BB20" i="16"/>
  <c r="P20" i="16"/>
  <c r="AC20" i="21"/>
  <c r="F20" i="17"/>
  <c r="AO20" i="21"/>
  <c r="K20" i="21"/>
  <c r="M20" i="16"/>
  <c r="AS20" i="17"/>
  <c r="AV20" i="16"/>
  <c r="AG20" i="16"/>
  <c r="S20" i="11"/>
  <c r="AD20" i="21"/>
  <c r="AW20" i="21"/>
  <c r="E20" i="12"/>
  <c r="U20" i="17"/>
  <c r="V20" i="21"/>
  <c r="Z20" i="17"/>
  <c r="M20" i="17"/>
  <c r="AB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O20" i="16"/>
  <c r="Q20" i="11"/>
  <c r="AI20" i="21"/>
  <c r="F20" i="11"/>
  <c r="AR20" i="17"/>
  <c r="AP20" i="17"/>
  <c r="J20" i="11"/>
  <c r="I20" i="16"/>
  <c r="AP20" i="21"/>
  <c r="AJ20" i="21"/>
  <c r="P20" i="17"/>
  <c r="J20" i="21"/>
  <c r="AR20" i="16"/>
  <c r="Z20" i="16"/>
  <c r="AY20" i="16"/>
  <c r="AD20" i="11"/>
  <c r="T20" i="11"/>
  <c r="AN20" i="11"/>
  <c r="BE20" i="16"/>
  <c r="AT20" i="16"/>
  <c r="R20" i="16"/>
  <c r="N20" i="21"/>
  <c r="AN20" i="17"/>
  <c r="H20" i="12"/>
  <c r="W20" i="16"/>
  <c r="AO20" i="17"/>
  <c r="AN20" i="21"/>
  <c r="AK20" i="17"/>
  <c r="X20" i="16"/>
  <c r="AW20" i="16"/>
  <c r="H20" i="16"/>
  <c r="AJ20" i="17"/>
  <c r="V20" i="17"/>
  <c r="E20" i="16"/>
  <c r="AG20" i="17"/>
  <c r="AM20" i="21"/>
  <c r="N20" i="11"/>
  <c r="H20" i="21"/>
  <c r="BM20" i="16"/>
  <c r="S20" i="17"/>
  <c r="AJ20" i="11"/>
  <c r="AL20" i="11"/>
  <c r="Y20" i="16"/>
  <c r="AZ20" i="11"/>
  <c r="P20" i="21"/>
  <c r="AS20" i="11"/>
  <c r="Y20" i="21"/>
  <c r="Y20" i="11"/>
  <c r="O12" i="11"/>
  <c r="BF20" i="16"/>
  <c r="AZ20" i="16"/>
  <c r="BD19" i="8" l="1"/>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<sst xmlns="http://schemas.openxmlformats.org/spreadsheetml/2006/main" count="2080" uniqueCount="912">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</sst>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FBbMFn6lF7OXxxpEr+v4BKUMauq84Xws4YpjeDERZ/yZeqPioDzzEu28enZ2ZJfuiD5ULp0oqBusxuGAN3KJg==" saltValue="LvPzJM6afsQCEhT1/G8D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33.275506445672193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86</v>
      </c>
      <c r="D10" s="228">
        <f>IF(ISNUMBER(Datos!I10),Datos!I10," - ")</f>
        <v>86</v>
      </c>
      <c r="E10" s="229">
        <f>IF(ISNUMBER(Datos!J10),Datos!J10," - ")</f>
        <v>37</v>
      </c>
      <c r="F10" s="229">
        <f>IF(ISNUMBER(Datos!K10),Datos!K10," - ")</f>
        <v>40</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-3.4883720930232558E-2</v>
      </c>
      <c r="L10" s="1028">
        <f>IF(ISNUMBER(NºAsuntos!I10/NºAsuntos!G10),(NºAsuntos!I10/NºAsuntos!G10)*11," - ")</f>
        <v>22.825000000000003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9.53003003003003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86</v>
      </c>
      <c r="D13" s="1052">
        <f>SUBTOTAL(9,D9:D12)</f>
        <v>86</v>
      </c>
      <c r="E13" s="1053">
        <f>SUBTOTAL(9,E9:E12)</f>
        <v>37</v>
      </c>
      <c r="F13" s="1054">
        <f>SUBTOTAL(9,F9:F12)</f>
        <v>40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4220</v>
      </c>
      <c r="D15" s="228">
        <f>IF(ISNUMBER(IF(D_I="SI",Datos!I15,Datos!I15+Datos!AC15)),IF(D_I="SI",Datos!I15,Datos!I15+Datos!AC15)," - ")</f>
        <v>4206</v>
      </c>
      <c r="E15" s="229">
        <f>IF(ISNUMBER(IF(D_I="SI",Datos!J15,Datos!J15+Datos!AD15)),IF(D_I="SI",Datos!J15,Datos!J15+Datos!AD15)," - ")</f>
        <v>2278</v>
      </c>
      <c r="F15" s="229">
        <f>IF(ISNUMBER(IF(D_I="SI",Datos!K15,Datos!K15+Datos!AE15)),IF(D_I="SI",Datos!K15,Datos!K15+Datos!AE15)," - ")</f>
        <v>2485</v>
      </c>
      <c r="G15" s="1037" t="str">
        <f>IF(Datos!E15&lt;&gt;"",Datos!E15,Datos!D15)</f>
        <v>03</v>
      </c>
      <c r="H15" s="230">
        <f>IF(ISNUMBER(IF(D_I="SI",Datos!L15,Datos!L15+Datos!AF15)),IF(D_I="SI",Datos!L15,Datos!L15+Datos!AF15)," - ")</f>
        <v>4013</v>
      </c>
      <c r="I15" s="1047" t="str">
        <f>IF(ISNUMBER(Datos!AS15/Datos!BM15),Datos!AS15/Datos!BM15," - ")</f>
        <v xml:space="preserve"> - </v>
      </c>
      <c r="J15" s="1048">
        <f>IF(ISNUMBER(Datos!BY15/Datos!CN15),Datos!BY15/Datos!CN15," - ")</f>
        <v>0</v>
      </c>
      <c r="K15" s="233">
        <f t="shared" ref="K15:K17" si="3">IF(ISNUMBER((E15-F15)/C15),(E15-F15)/C15," - ")</f>
        <v>-4.9052132701421801E-2</v>
      </c>
      <c r="L15" s="1028">
        <f>IF(ISNUMBER(NºAsuntos!I15/NºAsuntos!G15),(NºAsuntos!I15/NºAsuntos!G15)*11," - ")</f>
        <v>17.76378269617706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348</v>
      </c>
      <c r="D17" s="228">
        <f>IF(ISNUMBER(IF(D_I="SI",Datos!I17,Datos!I17+Datos!AC17)),IF(D_I="SI",Datos!I17,Datos!I17+Datos!AC17)," - ")</f>
        <v>348</v>
      </c>
      <c r="E17" s="229">
        <f>IF(ISNUMBER(IF(D_I="SI",Datos!J17,Datos!J17+Datos!AD17)),IF(D_I="SI",Datos!J17,Datos!J17+Datos!AD17)," - ")</f>
        <v>244</v>
      </c>
      <c r="F17" s="229">
        <f>IF(ISNUMBER(IF(D_I="SI",Datos!K17,Datos!K17+Datos!AE17)),IF(D_I="SI",Datos!K17,Datos!K17+Datos!AE17)," - ")</f>
        <v>258</v>
      </c>
      <c r="G17" s="1037" t="str">
        <f>IF(Datos!E17&lt;&gt;"",Datos!E17,Datos!D17)</f>
        <v>37</v>
      </c>
      <c r="H17" s="230">
        <f>IF(ISNUMBER(IF(D_I="SI",Datos!L17,Datos!L17+Datos!AF17)),IF(D_I="SI",Datos!L17,Datos!L17+Datos!AF17)," - ")</f>
        <v>334</v>
      </c>
      <c r="I17" s="1047" t="str">
        <f>IF(ISNUMBER(Datos!AS17/Datos!BM17),Datos!AS17/Datos!BM17," - ")</f>
        <v xml:space="preserve"> - </v>
      </c>
      <c r="J17" s="1048" t="str">
        <f>IF(ISNUMBER((Datos!BY17+Datos!BZ17)/Datos!CN17),(Datos!BY17+Datos!BZ17)/Datos!CN17," - ")</f>
        <v xml:space="preserve"> - </v>
      </c>
      <c r="K17" s="233">
        <f t="shared" si="3"/>
        <v>-4.0229885057471264E-2</v>
      </c>
      <c r="L17" s="1028">
        <f>IF(ISNUMBER(NºAsuntos!I17/NºAsuntos!G17),(NºAsuntos!I17/NºAsuntos!G17)*11," - ")</f>
        <v>14.24031007751938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4568</v>
      </c>
      <c r="D18" s="1052">
        <f>SUBTOTAL(9,D15:D17)</f>
        <v>4554</v>
      </c>
      <c r="E18" s="1053">
        <f>SUBTOTAL(9,E15:E17)</f>
        <v>2522</v>
      </c>
      <c r="F18" s="1053">
        <f>SUBTOTAL(9,F15:F17)</f>
        <v>2743</v>
      </c>
      <c r="G18" s="1055" t="str">
        <f ca="1">INDIRECT(CONCATENATE("G",ROW()-1))</f>
        <v>37</v>
      </c>
      <c r="H18" s="1056">
        <f ca="1">SUMIF(G$14:G17,G18,H$14:H17)</f>
        <v>334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4654</v>
      </c>
      <c r="D19" s="1074">
        <f>SUBTOTAL(9,D9:D18)</f>
        <v>4640</v>
      </c>
      <c r="E19" s="1075">
        <f>SUBTOTAL(9,E9:E18)</f>
        <v>2559</v>
      </c>
      <c r="F19" s="1075">
        <f>SUBTOTAL(9,F9:F18)</f>
        <v>2783</v>
      </c>
      <c r="G19" s="1076"/>
      <c r="H19" s="1077">
        <f ca="1">SUMIF(B9:B18,"TOTAL",H9:H18)</f>
        <v>334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BrOOH4BL7GMzo8MwWeDU+A2ea6to3zJQq+s8m18STR9idKHx6bempQzt97yAR4HtYcbBdz+Fr7HRW4A3OIWFg==" saltValue="A+duyqM8cDKh1RB8QFT2t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q+HRf55X7t3rup8bz2zXhvIVyDbmDbl+KjT/0f3pr237iHEQNAmhh4/jh8hYl1hJWOU2ICT03tqSf8yOuTDiA==" saltValue="O0tL6h5PZIhnz7VBqe2T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8019</v>
      </c>
      <c r="J9" s="184">
        <v>2534</v>
      </c>
      <c r="K9" s="184">
        <v>2562</v>
      </c>
      <c r="L9" s="184">
        <v>7991</v>
      </c>
      <c r="M9" s="184">
        <v>676</v>
      </c>
      <c r="N9" s="184">
        <v>961</v>
      </c>
      <c r="O9" s="184">
        <v>1382</v>
      </c>
      <c r="P9" s="184">
        <v>541</v>
      </c>
      <c r="Q9" s="184">
        <v>426</v>
      </c>
      <c r="R9" s="184">
        <v>9253</v>
      </c>
      <c r="S9" s="184">
        <v>4904</v>
      </c>
      <c r="T9" s="184">
        <v>2568</v>
      </c>
      <c r="U9" s="184">
        <v>2372</v>
      </c>
      <c r="V9" s="184">
        <v>5047</v>
      </c>
      <c r="W9" s="184">
        <v>815</v>
      </c>
      <c r="X9" s="191">
        <v>823</v>
      </c>
      <c r="Y9" s="194">
        <v>281</v>
      </c>
      <c r="Z9" s="184">
        <v>94</v>
      </c>
      <c r="AA9" s="184">
        <v>153</v>
      </c>
      <c r="AB9" s="184">
        <v>222</v>
      </c>
      <c r="AC9" s="184">
        <v>0</v>
      </c>
      <c r="AD9" s="184">
        <v>0</v>
      </c>
      <c r="AE9" s="184">
        <v>0</v>
      </c>
      <c r="AF9" s="191">
        <v>0</v>
      </c>
      <c r="AG9" s="194">
        <v>139</v>
      </c>
      <c r="AH9" s="184">
        <v>157</v>
      </c>
      <c r="AI9" s="184">
        <v>160</v>
      </c>
      <c r="AJ9" s="195">
        <v>136</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5043</v>
      </c>
      <c r="AZ9" s="123">
        <f>IF(ISNUMBER(IF(J_V="SI",T9,T9+AH9)),IF(J_V="SI",T9,T9+AH9)," - ")</f>
        <v>2725</v>
      </c>
      <c r="BA9" s="124">
        <f>IF(ISNUMBER(IF(J_V="SI",U9,U9+AI9)),IF(J_V="SI",U9,U9+AI9)," - ")</f>
        <v>2532</v>
      </c>
      <c r="BB9" s="124">
        <f>IF(ISNUMBER(IF(J_V="SI",V9,V9+AJ9)),IF(J_V="SI",V9,V9+AJ9)," - ")</f>
        <v>5183</v>
      </c>
      <c r="BC9" s="125">
        <f>IF(ISNUMBER(X9),X9," - ")</f>
        <v>823</v>
      </c>
      <c r="BD9" s="126">
        <f>IF(ISNUMBER(BA9/AZ9),BA9/AZ9," - ")</f>
        <v>0.92917431192660549</v>
      </c>
      <c r="BE9" s="127">
        <f>IF(ISNUMBER(BB9/BA9),BB9/BA9, " - ")</f>
        <v>2.0469984202211688</v>
      </c>
      <c r="BF9" s="127">
        <f>IF(ISNUMBER(BC9/BA9),BC9/BA9, " - ")</f>
        <v>0.32503949447077407</v>
      </c>
      <c r="BG9" s="199">
        <f>IF(ISNUMBER((AY9+AZ9)/BA9),(AY9+AZ9)/BA9," - ")</f>
        <v>3.0679304897314377</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86</v>
      </c>
      <c r="J10" s="184">
        <v>37</v>
      </c>
      <c r="K10" s="184">
        <v>40</v>
      </c>
      <c r="L10" s="184">
        <v>83</v>
      </c>
      <c r="M10" s="184">
        <v>18</v>
      </c>
      <c r="N10" s="184">
        <v>16</v>
      </c>
      <c r="O10" s="184">
        <v>10</v>
      </c>
      <c r="P10" s="184">
        <v>8</v>
      </c>
      <c r="Q10" s="184">
        <v>13</v>
      </c>
      <c r="R10" s="184">
        <v>53</v>
      </c>
      <c r="S10" s="184">
        <v>90</v>
      </c>
      <c r="T10" s="184">
        <v>29</v>
      </c>
      <c r="U10" s="184">
        <v>31</v>
      </c>
      <c r="V10" s="184">
        <v>88</v>
      </c>
      <c r="W10" s="184">
        <v>10</v>
      </c>
      <c r="X10" s="191">
        <v>19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90</v>
      </c>
      <c r="AZ10" s="129">
        <f t="shared" si="0"/>
        <v>29</v>
      </c>
      <c r="BA10" s="129">
        <f t="shared" si="0"/>
        <v>31</v>
      </c>
      <c r="BB10" s="129">
        <f t="shared" si="0"/>
        <v>88</v>
      </c>
      <c r="BC10" s="125">
        <f t="shared" si="0"/>
        <v>10</v>
      </c>
      <c r="BD10" s="126">
        <f>IF(ISNUMBER(BA10/AZ10),BA10/AZ10," - ")</f>
        <v>1.0689655172413792</v>
      </c>
      <c r="BE10" s="127">
        <f>IF(ISNUMBER(BB10/BA10),BB10/BA10, " - ")</f>
        <v>2.838709677419355</v>
      </c>
      <c r="BF10" s="127">
        <f>IF(ISNUMBER(BC10/BA10),BC10/BA10, " - ")</f>
        <v>0.32258064516129031</v>
      </c>
      <c r="BG10" s="199">
        <f>IF(ISNUMBER((AY10+AZ10)/BA10),(AY10+AZ10)/BA10," - ")</f>
        <v>3.838709677419355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608</v>
      </c>
      <c r="J11" s="186">
        <v>331</v>
      </c>
      <c r="K11" s="186">
        <v>417</v>
      </c>
      <c r="L11" s="186">
        <v>515</v>
      </c>
      <c r="M11" s="186">
        <v>193</v>
      </c>
      <c r="N11" s="186">
        <v>404</v>
      </c>
      <c r="O11" s="184">
        <v>153</v>
      </c>
      <c r="P11" s="186">
        <v>72</v>
      </c>
      <c r="Q11" s="186">
        <v>40</v>
      </c>
      <c r="R11" s="186">
        <v>580</v>
      </c>
      <c r="S11" s="186">
        <v>325</v>
      </c>
      <c r="T11" s="186">
        <v>393</v>
      </c>
      <c r="U11" s="186">
        <v>332</v>
      </c>
      <c r="V11" s="186">
        <v>384</v>
      </c>
      <c r="W11" s="186">
        <v>180</v>
      </c>
      <c r="X11" s="192">
        <v>322</v>
      </c>
      <c r="Y11" s="194">
        <v>113</v>
      </c>
      <c r="Z11" s="184">
        <v>189</v>
      </c>
      <c r="AA11" s="184">
        <v>249</v>
      </c>
      <c r="AB11" s="184">
        <v>62</v>
      </c>
      <c r="AC11" s="186">
        <v>0</v>
      </c>
      <c r="AD11" s="186">
        <v>0</v>
      </c>
      <c r="AE11" s="186">
        <v>0</v>
      </c>
      <c r="AF11" s="192">
        <v>0</v>
      </c>
      <c r="AG11" s="205">
        <v>72</v>
      </c>
      <c r="AH11" s="186">
        <v>247</v>
      </c>
      <c r="AI11" s="186">
        <v>229</v>
      </c>
      <c r="AJ11" s="206">
        <v>90</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397</v>
      </c>
      <c r="AZ11" s="127">
        <f t="shared" si="1"/>
        <v>640</v>
      </c>
      <c r="BA11" s="127">
        <f t="shared" si="1"/>
        <v>561</v>
      </c>
      <c r="BB11" s="127">
        <f t="shared" si="1"/>
        <v>474</v>
      </c>
      <c r="BC11" s="125">
        <f>IF(ISNUMBER(X11),X11," - ")</f>
        <v>322</v>
      </c>
      <c r="BD11" s="126">
        <f t="shared" ref="BD11:BD12" si="2">IF(ISNUMBER(BA11/AZ11),BA11/AZ11," - ")</f>
        <v>0.87656250000000002</v>
      </c>
      <c r="BE11" s="127">
        <f t="shared" ref="BE11:BE12" si="3">IF(ISNUMBER(BB11/BA11),BB11/BA11, " - ")</f>
        <v>0.84491978609625673</v>
      </c>
      <c r="BF11" s="127">
        <f t="shared" ref="BF11:BF12" si="4">IF(ISNUMBER(BC11/BA11),BC11/BA11, " - ")</f>
        <v>0.57397504456327986</v>
      </c>
      <c r="BG11" s="199">
        <f t="shared" ref="BG11:BG12" si="5">IF(ISNUMBER((AY11+AZ11)/BA11),(AY11+AZ11)/BA11," - ")</f>
        <v>1.8484848484848484</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8713</v>
      </c>
      <c r="J13" s="187">
        <f t="shared" si="6"/>
        <v>2902</v>
      </c>
      <c r="K13" s="187">
        <f t="shared" si="6"/>
        <v>3019</v>
      </c>
      <c r="L13" s="187">
        <f t="shared" si="6"/>
        <v>8589</v>
      </c>
      <c r="M13" s="187">
        <f t="shared" si="6"/>
        <v>887</v>
      </c>
      <c r="N13" s="187">
        <f t="shared" si="6"/>
        <v>1381</v>
      </c>
      <c r="O13" s="187">
        <f t="shared" si="6"/>
        <v>1545</v>
      </c>
      <c r="P13" s="187">
        <f t="shared" si="6"/>
        <v>621</v>
      </c>
      <c r="Q13" s="187">
        <f t="shared" si="6"/>
        <v>479</v>
      </c>
      <c r="R13" s="187">
        <f t="shared" si="6"/>
        <v>9886</v>
      </c>
      <c r="S13" s="187">
        <f t="shared" si="6"/>
        <v>5319</v>
      </c>
      <c r="T13" s="187">
        <f t="shared" si="6"/>
        <v>2990</v>
      </c>
      <c r="U13" s="187">
        <f t="shared" si="6"/>
        <v>2735</v>
      </c>
      <c r="V13" s="187">
        <f t="shared" si="6"/>
        <v>5519</v>
      </c>
      <c r="W13" s="187">
        <f t="shared" si="6"/>
        <v>1005</v>
      </c>
      <c r="X13" s="187">
        <f t="shared" si="6"/>
        <v>1164</v>
      </c>
      <c r="Y13" s="187">
        <f t="shared" si="6"/>
        <v>394</v>
      </c>
      <c r="Z13" s="187">
        <f t="shared" si="6"/>
        <v>283</v>
      </c>
      <c r="AA13" s="187">
        <f t="shared" si="6"/>
        <v>402</v>
      </c>
      <c r="AB13" s="187">
        <f t="shared" si="6"/>
        <v>284</v>
      </c>
      <c r="AC13" s="187">
        <f t="shared" si="6"/>
        <v>0</v>
      </c>
      <c r="AD13" s="187">
        <f t="shared" si="6"/>
        <v>0</v>
      </c>
      <c r="AE13" s="187">
        <f t="shared" si="6"/>
        <v>0</v>
      </c>
      <c r="AF13" s="187">
        <f>SUBTOTAL(9,AF9:AF12)</f>
        <v>0</v>
      </c>
      <c r="AG13" s="187">
        <f t="shared" ref="AG13:AT13" si="7">SUBTOTAL(9,AG8:AG12)</f>
        <v>211</v>
      </c>
      <c r="AH13" s="187">
        <f t="shared" si="7"/>
        <v>404</v>
      </c>
      <c r="AI13" s="187">
        <f t="shared" si="7"/>
        <v>389</v>
      </c>
      <c r="AJ13" s="187">
        <f t="shared" si="7"/>
        <v>226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5530</v>
      </c>
      <c r="AZ13" s="187">
        <f>SUBTOTAL(9,AZ8:AZ12)</f>
        <v>3394</v>
      </c>
      <c r="BA13" s="187">
        <f>SUBTOTAL(9,BA8:BA12)</f>
        <v>3124</v>
      </c>
      <c r="BB13" s="187">
        <f>SUBTOTAL(9,BB8:BB12)</f>
        <v>5745</v>
      </c>
      <c r="BC13" s="187">
        <f>SUBTOTAL(9,BC8:BC12)</f>
        <v>1155</v>
      </c>
      <c r="BD13" s="208">
        <f>IF(ISNUMBER(BA13/AZ13),BA13/AZ13," - ")</f>
        <v>0.920447849145551</v>
      </c>
      <c r="BE13" s="209">
        <f>IF(ISNUMBER(BB13/BA13),BB13/BA13, " - ")</f>
        <v>1.83898847631242</v>
      </c>
      <c r="BF13" s="209">
        <f>IF(ISNUMBER(BC13/BA13),BC13/BA13, " - ")</f>
        <v>0.36971830985915494</v>
      </c>
      <c r="BG13" s="210">
        <f>IF(ISNUMBER((AY13+AZ13)/BA13),(AY13+AZ13)/BA13," - ")</f>
        <v>2.8565941101152368</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4206</v>
      </c>
      <c r="J15" s="186">
        <v>2278</v>
      </c>
      <c r="K15" s="186">
        <v>2485</v>
      </c>
      <c r="L15" s="186">
        <v>4013</v>
      </c>
      <c r="M15" s="186">
        <v>436</v>
      </c>
      <c r="N15" s="186">
        <v>1238</v>
      </c>
      <c r="O15" s="184">
        <v>118</v>
      </c>
      <c r="P15" s="186">
        <v>228</v>
      </c>
      <c r="Q15" s="186">
        <v>191</v>
      </c>
      <c r="R15" s="186">
        <v>632</v>
      </c>
      <c r="S15" s="186">
        <v>3066</v>
      </c>
      <c r="T15" s="186">
        <v>2160</v>
      </c>
      <c r="U15" s="186">
        <v>1915</v>
      </c>
      <c r="V15" s="186">
        <v>3316</v>
      </c>
      <c r="W15" s="186">
        <v>337</v>
      </c>
      <c r="X15" s="192">
        <v>828</v>
      </c>
      <c r="Y15" s="205">
        <v>0</v>
      </c>
      <c r="Z15" s="186">
        <v>0</v>
      </c>
      <c r="AA15" s="186">
        <v>0</v>
      </c>
      <c r="AB15" s="186">
        <v>0</v>
      </c>
      <c r="AC15" s="186">
        <v>1</v>
      </c>
      <c r="AD15" s="186">
        <v>62</v>
      </c>
      <c r="AE15" s="186">
        <v>62</v>
      </c>
      <c r="AF15" s="192">
        <v>1</v>
      </c>
      <c r="AG15" s="205">
        <v>0</v>
      </c>
      <c r="AH15" s="186">
        <v>0</v>
      </c>
      <c r="AI15" s="186">
        <v>0</v>
      </c>
      <c r="AJ15" s="206">
        <v>0</v>
      </c>
      <c r="AK15" s="185">
        <v>1</v>
      </c>
      <c r="AL15" s="186">
        <v>69</v>
      </c>
      <c r="AM15" s="186">
        <v>69</v>
      </c>
      <c r="AN15" s="192">
        <v>1</v>
      </c>
      <c r="AO15" s="262">
        <v>3</v>
      </c>
      <c r="AP15" s="158">
        <v>3</v>
      </c>
      <c r="AQ15" s="158">
        <v>3</v>
      </c>
      <c r="AR15" s="158">
        <v>3</v>
      </c>
      <c r="AS15" s="343" t="s">
        <v>531</v>
      </c>
      <c r="AT15" s="206" t="s">
        <v>329</v>
      </c>
      <c r="AU15" s="205"/>
      <c r="AV15" s="206"/>
      <c r="AW15" s="205"/>
      <c r="AX15" s="206"/>
      <c r="AY15" s="128">
        <f t="shared" ref="AY15:BB16" si="9">IF(ISNUMBER(IF(D_I="SI",S15,S15+AK15)),IF(D_I="SI",S15,S15+AK15)," - ")</f>
        <v>3066</v>
      </c>
      <c r="AZ15" s="129">
        <f t="shared" si="9"/>
        <v>2160</v>
      </c>
      <c r="BA15" s="129">
        <f t="shared" si="9"/>
        <v>1915</v>
      </c>
      <c r="BB15" s="129">
        <f t="shared" si="9"/>
        <v>3316</v>
      </c>
      <c r="BC15" s="125">
        <f>IF(ISNUMBER(W15),W15," - ")</f>
        <v>337</v>
      </c>
      <c r="BD15" s="126">
        <f>IF(ISNUMBER(BA15/AZ15),BA15/AZ15," - ")</f>
        <v>0.88657407407407407</v>
      </c>
      <c r="BE15" s="127">
        <f>IF(ISNUMBER(BB15/BA15),BB15/BA15, " - ")</f>
        <v>1.7315926892950391</v>
      </c>
      <c r="BF15" s="127">
        <f>IF(ISNUMBER(BC15/BA15),BC15/BA15, " - ")</f>
        <v>0.17597911227154048</v>
      </c>
      <c r="BG15" s="199">
        <f t="shared" ref="BG15:BG16" si="10">IF(ISNUMBER((AY15+AZ15)/BA15),(AY15+AZ15)/BA15," - ")</f>
        <v>2.7289817232375979</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348</v>
      </c>
      <c r="J17" s="186">
        <v>244</v>
      </c>
      <c r="K17" s="186">
        <v>258</v>
      </c>
      <c r="L17" s="186">
        <v>334</v>
      </c>
      <c r="M17" s="186">
        <v>20</v>
      </c>
      <c r="N17" s="186">
        <v>137</v>
      </c>
      <c r="O17" s="186">
        <v>0</v>
      </c>
      <c r="P17" s="186">
        <v>3</v>
      </c>
      <c r="Q17" s="186">
        <v>0</v>
      </c>
      <c r="R17" s="186">
        <v>6</v>
      </c>
      <c r="S17" s="186">
        <v>279</v>
      </c>
      <c r="T17" s="186">
        <v>200</v>
      </c>
      <c r="U17" s="186">
        <v>207</v>
      </c>
      <c r="V17" s="186">
        <v>274</v>
      </c>
      <c r="W17" s="186">
        <v>9</v>
      </c>
      <c r="X17" s="192">
        <v>121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279</v>
      </c>
      <c r="AZ17" s="129">
        <f t="shared" si="14"/>
        <v>200</v>
      </c>
      <c r="BA17" s="129">
        <f t="shared" si="14"/>
        <v>207</v>
      </c>
      <c r="BB17" s="129">
        <f t="shared" si="14"/>
        <v>274</v>
      </c>
      <c r="BC17" s="125">
        <f>IF(ISNUMBER(W17),W17," - ")</f>
        <v>9</v>
      </c>
      <c r="BD17" s="126">
        <f>IF(ISNUMBER(BA17/AZ17),BA17/AZ17," - ")</f>
        <v>1.0349999999999999</v>
      </c>
      <c r="BE17" s="127">
        <f>IF(ISNUMBER(BB17/BA17),BB17/BA17, " - ")</f>
        <v>1.3236714975845412</v>
      </c>
      <c r="BF17" s="127">
        <f>IF(ISNUMBER(BC17/BA17),BC17/BA17, " - ")</f>
        <v>4.3478260869565216E-2</v>
      </c>
      <c r="BG17" s="199">
        <f>IF(ISNUMBER((AY17+AZ17)/BA17),(AY17+AZ17)/BA17," - ")</f>
        <v>2.3140096618357489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4554</v>
      </c>
      <c r="J18" s="187">
        <f t="shared" si="15"/>
        <v>2522</v>
      </c>
      <c r="K18" s="187">
        <f t="shared" si="15"/>
        <v>2743</v>
      </c>
      <c r="L18" s="187">
        <f t="shared" si="15"/>
        <v>4347</v>
      </c>
      <c r="M18" s="187">
        <f t="shared" si="15"/>
        <v>456</v>
      </c>
      <c r="N18" s="187">
        <f t="shared" si="15"/>
        <v>1375</v>
      </c>
      <c r="O18" s="187">
        <f t="shared" si="15"/>
        <v>118</v>
      </c>
      <c r="P18" s="187">
        <f t="shared" si="15"/>
        <v>231</v>
      </c>
      <c r="Q18" s="187">
        <f t="shared" si="15"/>
        <v>191</v>
      </c>
      <c r="R18" s="187">
        <f t="shared" si="15"/>
        <v>638</v>
      </c>
      <c r="S18" s="187">
        <f t="shared" si="15"/>
        <v>3345</v>
      </c>
      <c r="T18" s="187">
        <f t="shared" si="15"/>
        <v>2360</v>
      </c>
      <c r="U18" s="187">
        <f t="shared" si="15"/>
        <v>2122</v>
      </c>
      <c r="V18" s="187">
        <f t="shared" si="15"/>
        <v>3590</v>
      </c>
      <c r="W18" s="187">
        <f t="shared" si="15"/>
        <v>346</v>
      </c>
      <c r="X18" s="187">
        <f t="shared" si="15"/>
        <v>949</v>
      </c>
      <c r="Y18" s="187">
        <f t="shared" si="15"/>
        <v>0</v>
      </c>
      <c r="Z18" s="187">
        <f t="shared" si="15"/>
        <v>0</v>
      </c>
      <c r="AA18" s="187">
        <f t="shared" si="15"/>
        <v>0</v>
      </c>
      <c r="AB18" s="187">
        <f t="shared" si="15"/>
        <v>0</v>
      </c>
      <c r="AC18" s="187">
        <f t="shared" si="15"/>
        <v>1</v>
      </c>
      <c r="AD18" s="187">
        <f t="shared" si="15"/>
        <v>62</v>
      </c>
      <c r="AE18" s="187">
        <f t="shared" si="15"/>
        <v>62</v>
      </c>
      <c r="AF18" s="187">
        <f t="shared" si="15"/>
        <v>1</v>
      </c>
      <c r="AG18" s="187">
        <f t="shared" si="15"/>
        <v>0</v>
      </c>
      <c r="AH18" s="187">
        <f t="shared" si="15"/>
        <v>0</v>
      </c>
      <c r="AI18" s="187">
        <f t="shared" si="15"/>
        <v>0</v>
      </c>
      <c r="AJ18" s="187">
        <f t="shared" si="15"/>
        <v>0</v>
      </c>
      <c r="AK18" s="187">
        <f t="shared" si="15"/>
        <v>1</v>
      </c>
      <c r="AL18" s="187">
        <f t="shared" si="15"/>
        <v>69</v>
      </c>
      <c r="AM18" s="187">
        <f t="shared" si="15"/>
        <v>69</v>
      </c>
      <c r="AN18" s="187">
        <f t="shared" si="15"/>
        <v>1</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3345</v>
      </c>
      <c r="AZ18" s="187">
        <f>SUBTOTAL(9,AZ14:AZ17)</f>
        <v>2360</v>
      </c>
      <c r="BA18" s="187">
        <f>SUBTOTAL(9,BA14:BA17)</f>
        <v>2122</v>
      </c>
      <c r="BB18" s="187">
        <f>SUBTOTAL(9,BB14:BB17)</f>
        <v>3590</v>
      </c>
      <c r="BC18" s="187">
        <f>SUBTOTAL(9,BC14:BC17)</f>
        <v>346</v>
      </c>
      <c r="BD18" s="208">
        <f>IF(ISNUMBER(BA18/AZ18),BA18/AZ18," - ")</f>
        <v>0.89915254237288134</v>
      </c>
      <c r="BE18" s="209">
        <f>IF(ISNUMBER(BB18/BA18),BB18/BA18, " - ")</f>
        <v>1.6918001885014138</v>
      </c>
      <c r="BF18" s="209">
        <f>IF(ISNUMBER(BC18/BA18),BC18/BA18, " - ")</f>
        <v>0.16305372290292178</v>
      </c>
      <c r="BG18" s="210">
        <f>IF(ISNUMBER((AY18+AZ18)/BA18),(AY18+AZ18)/BA18," - ")</f>
        <v>2.6885014137606031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13267</v>
      </c>
      <c r="J19" s="134">
        <f t="shared" si="18"/>
        <v>5424</v>
      </c>
      <c r="K19" s="134">
        <f t="shared" si="18"/>
        <v>5762</v>
      </c>
      <c r="L19" s="134">
        <f t="shared" si="18"/>
        <v>12936</v>
      </c>
      <c r="M19" s="134">
        <f t="shared" si="18"/>
        <v>1343</v>
      </c>
      <c r="N19" s="134">
        <f t="shared" si="18"/>
        <v>2756</v>
      </c>
      <c r="O19" s="134">
        <f t="shared" si="18"/>
        <v>1663</v>
      </c>
      <c r="P19" s="134">
        <f t="shared" si="18"/>
        <v>852</v>
      </c>
      <c r="Q19" s="134">
        <f t="shared" si="18"/>
        <v>670</v>
      </c>
      <c r="R19" s="134">
        <f t="shared" si="18"/>
        <v>10524</v>
      </c>
      <c r="S19" s="134">
        <f t="shared" si="18"/>
        <v>8664</v>
      </c>
      <c r="T19" s="134">
        <f t="shared" si="18"/>
        <v>5350</v>
      </c>
      <c r="U19" s="134">
        <f t="shared" si="18"/>
        <v>4857</v>
      </c>
      <c r="V19" s="134">
        <f t="shared" si="18"/>
        <v>9109</v>
      </c>
      <c r="W19" s="134">
        <f t="shared" si="18"/>
        <v>1351</v>
      </c>
      <c r="X19" s="134">
        <f t="shared" si="18"/>
        <v>2113</v>
      </c>
      <c r="Y19" s="134">
        <f t="shared" si="18"/>
        <v>394</v>
      </c>
      <c r="Z19" s="134">
        <f t="shared" si="18"/>
        <v>283</v>
      </c>
      <c r="AA19" s="134">
        <f t="shared" si="18"/>
        <v>402</v>
      </c>
      <c r="AB19" s="134">
        <f t="shared" si="18"/>
        <v>284</v>
      </c>
      <c r="AC19" s="134">
        <f t="shared" si="18"/>
        <v>1</v>
      </c>
      <c r="AD19" s="134">
        <f t="shared" si="18"/>
        <v>62</v>
      </c>
      <c r="AE19" s="134">
        <f t="shared" si="18"/>
        <v>62</v>
      </c>
      <c r="AF19" s="134">
        <f t="shared" si="18"/>
        <v>1</v>
      </c>
      <c r="AG19" s="134">
        <f t="shared" si="18"/>
        <v>211</v>
      </c>
      <c r="AH19" s="134">
        <f t="shared" si="18"/>
        <v>404</v>
      </c>
      <c r="AI19" s="134">
        <f t="shared" si="18"/>
        <v>389</v>
      </c>
      <c r="AJ19" s="134">
        <f t="shared" si="18"/>
        <v>226</v>
      </c>
      <c r="AK19" s="134">
        <f t="shared" si="18"/>
        <v>1</v>
      </c>
      <c r="AL19" s="134">
        <f t="shared" si="18"/>
        <v>69</v>
      </c>
      <c r="AM19" s="134">
        <f t="shared" si="18"/>
        <v>69</v>
      </c>
      <c r="AN19" s="213">
        <f t="shared" si="18"/>
        <v>1</v>
      </c>
      <c r="AO19" s="214">
        <v>12</v>
      </c>
      <c r="AP19" s="214">
        <v>12</v>
      </c>
      <c r="AQ19" s="214">
        <v>12</v>
      </c>
      <c r="AR19" s="214">
        <v>12</v>
      </c>
      <c r="AS19" s="156">
        <f t="shared" si="18"/>
        <v>0</v>
      </c>
      <c r="AT19" s="156">
        <f t="shared" si="18"/>
        <v>0</v>
      </c>
      <c r="AU19" s="214"/>
      <c r="AV19" s="215"/>
      <c r="AW19" s="214"/>
      <c r="AX19" s="215"/>
      <c r="AY19" s="133">
        <f>SUBTOTAL(9,AY9:AY18)</f>
        <v>8875</v>
      </c>
      <c r="AZ19" s="134">
        <f>SUBTOTAL(9,AZ9:AZ18)</f>
        <v>5754</v>
      </c>
      <c r="BA19" s="134">
        <f>SUBTOTAL(9,BA9:BA18)</f>
        <v>5246</v>
      </c>
      <c r="BB19" s="134">
        <f>SUBTOTAL(9,BB9:BB18)</f>
        <v>9335</v>
      </c>
      <c r="BC19" s="135">
        <f>SUBTOTAL(9,BC9:BC18)</f>
        <v>1501</v>
      </c>
      <c r="BD19" s="216">
        <f>IF(ISNUMBER(BA19/AZ19),BA19/AZ19," - ")</f>
        <v>0.91171359054570733</v>
      </c>
      <c r="BE19" s="213">
        <f>IF(ISNUMBER(BB19/BA19),BB19/BA19, " - ")</f>
        <v>1.779451010293557</v>
      </c>
      <c r="BF19" s="213">
        <f>IF(ISNUMBER(BC19/BA19),BC19/BA19, " - ")</f>
        <v>0.28612276019824628</v>
      </c>
      <c r="BG19" s="135">
        <f>IF(ISNUMBER((AY19+AZ19)/BA19),(AY19+AZ19)/BA19," - ")</f>
        <v>2.7886008387342738</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t5awwdr1JlK4OzzhFHdbdkJQcEX92VHHts/SvT0DxiJwi3njRxT6wcMX7Hj9AA5S8Hsl2I9oPfx7p2sor2Arw==" saltValue="Q5zSuW7xu4DP7C6ncUUh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GmBFVAYrnCr6wTM++wlRscW5V+ofMgyYjGxfnPpez3ckb8FBB8ms6Dee82U2y4pGFMq2T4h54C2OBTUQcMyg==" saltValue="1503Getr/sKmz12dlGhf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ALBACETE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94</v>
      </c>
      <c r="O9" s="337"/>
      <c r="P9" s="337"/>
      <c r="Q9" s="229">
        <f>IF(ISNUMBER(Datos!P9),Datos!P9,0)</f>
        <v>541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426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222</v>
      </c>
      <c r="AI9" s="337" t="str">
        <f>IF(ISNUMBER(Datos!CD9),Datos!CD9,"-")</f>
        <v>-</v>
      </c>
      <c r="AJ9" s="337" t="str">
        <f>IF(ISNUMBER(Datos!EN9),Datos!EN9," - ")</f>
        <v xml:space="preserve"> - </v>
      </c>
      <c r="AK9" s="337"/>
      <c r="AL9" s="482"/>
      <c r="AM9" s="338">
        <f>IF(ISNUMBER(Datos!R9),Datos!R9," - ")</f>
        <v>9253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676</v>
      </c>
      <c r="BD9" s="232">
        <f>IF(ISNUMBER(Datos!N9),Datos!N9," - ")</f>
        <v>961</v>
      </c>
      <c r="BE9" s="232" t="str">
        <f>IF(ISNUMBER(Datos!BW9),Datos!BW9," - ")</f>
        <v xml:space="preserve"> - </v>
      </c>
      <c r="BF9" s="231" t="str">
        <f>IF(ISNUMBER(Datos!BX9),Datos!BX9," - ")</f>
        <v xml:space="preserve"> - </v>
      </c>
      <c r="BG9" s="246">
        <f>IF(ISNUMBER(IF(J_V="SI",Datos!K9/Datos!J9,(Datos!K9+Datos!AA9)/(Datos!J9+Datos!Z9))),IF(J_V="SI",Datos!K9/Datos!J9,(Datos!K9+Datos!AA9)/(Datos!J9+Datos!Z9))," - ")</f>
        <v>1.0331050228310503</v>
      </c>
      <c r="BH9" s="263">
        <f>IF(ISNUMBER(((IF(J_V="SI",Datos!L9/Datos!K9,(Datos!L9+Datos!AB9)/(Datos!K9+Datos!AA9)))*11)/factor_trimestre),((IF(J_V="SI",Datos!L9/Datos!K9,(Datos!L9+Datos!AB9)/(Datos!K9+Datos!AA9)))*11)/factor_trimestre," - ")</f>
        <v>9.0751381215469618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1.2584810680674107E-2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86</v>
      </c>
      <c r="G10" s="336">
        <f>IF(ISNUMBER(Datos!I10),Datos!I10," - ")</f>
        <v>86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40</v>
      </c>
      <c r="AC10" s="229">
        <f>IF(ISNUMBER(Datos!Q10),Datos!Q10," - ")</f>
        <v>13</v>
      </c>
      <c r="AD10" s="337"/>
      <c r="AE10" s="487"/>
      <c r="AF10" s="335">
        <f>IF(ISNUMBER(Datos!L10),Datos!L10,"-")</f>
        <v>83</v>
      </c>
      <c r="AG10" s="337"/>
      <c r="AH10" s="337"/>
      <c r="AI10" s="337"/>
      <c r="AJ10" s="337"/>
      <c r="AK10" s="337"/>
      <c r="AL10" s="482"/>
      <c r="AM10" s="338">
        <f>IF(ISNUMBER(Datos!R10),Datos!R10," - ")</f>
        <v>53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18</v>
      </c>
      <c r="BD10" s="232">
        <f>IF(ISNUMBER(Datos!N10),Datos!N10," - ")</f>
        <v>16</v>
      </c>
      <c r="BE10" s="232" t="str">
        <f>IF(ISNUMBER(Datos!BW10),Datos!BW10," - ")</f>
        <v xml:space="preserve"> - </v>
      </c>
      <c r="BF10" s="231" t="str">
        <f>IF(ISNUMBER(Datos!BX10),Datos!BX10," - ")</f>
        <v xml:space="preserve"> - </v>
      </c>
      <c r="BG10" s="246">
        <f>IF(ISNUMBER(Datos!K10/Datos!J10),Datos!K10/Datos!J10," - ")</f>
        <v>1.0810810810810811</v>
      </c>
      <c r="BH10" s="263">
        <f>IF(ISNUMBER(((Datos!L10/Datos!K10)*11)/factor_trimestre),((Datos!L10/Datos!K10)*11)/factor_trimestre," - ")</f>
        <v>6.2250000000000014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-8.6206896551724144E-2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189</v>
      </c>
      <c r="O11" s="337"/>
      <c r="P11" s="337"/>
      <c r="Q11" s="229">
        <f>IF(ISNUMBER(Datos!P11),Datos!P11,0)</f>
        <v>72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40</v>
      </c>
      <c r="AD11" s="337"/>
      <c r="AE11" s="487"/>
      <c r="AF11" s="335" t="str">
        <f>IF(ISNUMBER(IF(J_V="SI",Datos!L11,Datos!L11+Datos!AB11)-IF(Monitorios="SI",Datos!CD11,0)),
                          IF(J_V="SI",Datos!L11,Datos!L11+Datos!AB11)-IF(Monitorios="SI",Datos!CD11,0),
                          " - ")</f>
        <v xml:space="preserve"> - </v>
      </c>
      <c r="AG11" s="337"/>
      <c r="AH11" s="337">
        <f>IF(ISNUMBER(Datos!AB11),Datos!AB11,"-")</f>
        <v>62</v>
      </c>
      <c r="AI11" s="337"/>
      <c r="AJ11" s="337"/>
      <c r="AK11" s="337"/>
      <c r="AL11" s="482"/>
      <c r="AM11" s="338">
        <f>IF(ISNUMBER(Datos!R11),Datos!R11," - ")</f>
        <v>580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193</v>
      </c>
      <c r="BD11" s="232">
        <f>IF(ISNUMBER(Datos!N11),Datos!N11," - ")</f>
        <v>404</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1.2807692307692307</v>
      </c>
      <c r="BH11" s="263">
        <f>IF(ISNUMBER(((IF(J_V="SI",Datos!L11/Datos!K11,(Datos!L11+Datos!AB11)/(Datos!K11+Datos!AA11)))*11)/factor_trimestre),((IF(J_V="SI",Datos!L11/Datos!K11,(Datos!L11+Datos!AB11)/(Datos!K11+Datos!AA11)))*11)/factor_trimestre," - ")</f>
        <v>2.5990990990990994</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5.8394160583941604E-2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86</v>
      </c>
      <c r="G13" s="901">
        <f t="shared" si="0"/>
        <v>86</v>
      </c>
      <c r="H13" s="902">
        <f t="shared" si="0"/>
        <v>0</v>
      </c>
      <c r="I13" s="901">
        <f t="shared" si="0"/>
        <v>0</v>
      </c>
      <c r="J13" s="870">
        <f t="shared" si="0"/>
        <v>0</v>
      </c>
      <c r="K13" s="870">
        <f t="shared" si="0"/>
        <v>0</v>
      </c>
      <c r="L13" s="902">
        <f t="shared" si="0"/>
        <v>0</v>
      </c>
      <c r="M13" s="902">
        <f t="shared" si="0"/>
        <v>0</v>
      </c>
      <c r="N13" s="902">
        <f t="shared" si="0"/>
        <v>283</v>
      </c>
      <c r="O13" s="903">
        <f t="shared" si="0"/>
        <v>0</v>
      </c>
      <c r="P13" s="903">
        <f t="shared" si="0"/>
        <v>0</v>
      </c>
      <c r="Q13" s="902">
        <f t="shared" si="0"/>
        <v>621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40</v>
      </c>
      <c r="AC13" s="902">
        <f t="shared" si="1"/>
        <v>479</v>
      </c>
      <c r="AD13" s="902">
        <f t="shared" si="1"/>
        <v>0</v>
      </c>
      <c r="AE13" s="902">
        <f t="shared" si="1"/>
        <v>0</v>
      </c>
      <c r="AF13" s="902">
        <f t="shared" si="1"/>
        <v>83</v>
      </c>
      <c r="AG13" s="902">
        <f t="shared" si="1"/>
        <v>0</v>
      </c>
      <c r="AH13" s="902">
        <f t="shared" si="1"/>
        <v>284</v>
      </c>
      <c r="AI13" s="902">
        <f t="shared" si="1"/>
        <v>0</v>
      </c>
      <c r="AJ13" s="902">
        <f t="shared" si="1"/>
        <v>0</v>
      </c>
      <c r="AK13" s="902">
        <f t="shared" si="1"/>
        <v>0</v>
      </c>
      <c r="AL13" s="902">
        <f t="shared" si="1"/>
        <v>0</v>
      </c>
      <c r="AM13" s="902">
        <f t="shared" si="1"/>
        <v>9886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887</v>
      </c>
      <c r="BD13" s="902">
        <f t="shared" si="1"/>
        <v>1381</v>
      </c>
      <c r="BE13" s="902">
        <f t="shared" si="1"/>
        <v>0</v>
      </c>
      <c r="BF13" s="902">
        <f t="shared" si="1"/>
        <v>0</v>
      </c>
      <c r="BG13" s="902">
        <f>IF(ISNUMBER(Datos!K13/Datos!J13),Datos!K13/Datos!J13," - ")</f>
        <v>1.0403170227429359</v>
      </c>
      <c r="BH13" s="906">
        <f>IF(ISNUMBER(((Datos!L13/Datos!K13)*11)/factor_trimestre),((Datos!L13/Datos!K13)*11)/factor_trimestre," - ")</f>
        <v>8.5349453461411073</v>
      </c>
      <c r="BI13" s="902">
        <f>IF(ISNUMBER('Resol  Asuntos'!D13/NºAsuntos!G13),'Resol  Asuntos'!D13/NºAsuntos!G13," - ")</f>
        <v>0.25928091201403097</v>
      </c>
      <c r="BJ13" s="902" t="str">
        <f>IF(ISNUMBER(Datos!CI13/Datos!CJ13),Datos!CI13/Datos!CJ13," - ")</f>
        <v xml:space="preserve"> - </v>
      </c>
      <c r="BK13" s="902">
        <f>SUBTOTAL(9,BK8:BK12)</f>
        <v>0</v>
      </c>
      <c r="BL13" s="902">
        <f>IF(ISNUMBER((I13-AB13+L13)/(F13)),(I13-AB13+L13)/(F13)," - ")</f>
        <v>-0.46511627906976744</v>
      </c>
      <c r="BM13" s="907">
        <f>SUBTOTAL(9,BM9:BM12)</f>
        <v>-1.5227925287108438E-2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4220</v>
      </c>
      <c r="G15" s="601">
        <f>IF(ISNUMBER(IF(D_I="SI",Datos!I15,Datos!I15+Datos!AC15)),IF(D_I="SI",Datos!I15,Datos!I15+Datos!AC15)," - ")</f>
        <v>4206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228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2485</v>
      </c>
      <c r="AC15" s="229">
        <f>IF(ISNUMBER(Datos!Q15),Datos!Q15," - ")</f>
        <v>191</v>
      </c>
      <c r="AD15" s="337"/>
      <c r="AE15" s="487"/>
      <c r="AF15" s="599">
        <f>IF(ISNUMBER(IF(D_I="SI",Datos!L15,Datos!L15+Datos!AF15)),IF(D_I="SI",Datos!L15,Datos!L15+Datos!AF15)," - ")</f>
        <v>4013</v>
      </c>
      <c r="AG15" s="337"/>
      <c r="AH15" s="337"/>
      <c r="AI15" s="337"/>
      <c r="AJ15" s="337"/>
      <c r="AK15" s="337"/>
      <c r="AL15" s="482"/>
      <c r="AM15" s="338">
        <f>IF(ISNUMBER(Datos!R15),Datos!R15," - ")</f>
        <v>632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436</v>
      </c>
      <c r="BD15" s="232">
        <f>IF(ISNUMBER(Datos!N15),Datos!N15," - ")</f>
        <v>1238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1.0908691834942932</v>
      </c>
      <c r="BH15" s="263">
        <f>IF(ISNUMBER(((IF(D_I="SI",Datos!L15/Datos!K15,(Datos!L15+Datos!AF15)/(Datos!K15+Datos!AE15)))*11)/factor_trimestre),((IF(D_I="SI",Datos!L15/Datos!K15,(Datos!L15+Datos!AF15)/(Datos!K15+Datos!AE15)))*11)/factor_trimestre," - ")</f>
        <v>4.8446680080482896</v>
      </c>
      <c r="BI15" s="246">
        <f>IF(ISNUMBER('Resol  Asuntos'!D15/NºAsuntos!G15),'Resol  Asuntos'!D15/NºAsuntos!G15," - ")</f>
        <v>0.17545271629778672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258</v>
      </c>
      <c r="AC17" s="229">
        <f>IF(ISNUMBER(Datos!Q17),Datos!Q17," - ")</f>
        <v>0</v>
      </c>
      <c r="AD17" s="337"/>
      <c r="AE17" s="487"/>
      <c r="AF17" s="335">
        <f>IF(ISNUMBER(Datos!L17),Datos!L17,"-")</f>
        <v>334</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v>
      </c>
      <c r="BD17" s="232">
        <f>IF(ISNUMBER(Datos!N17),Datos!N17," - ")</f>
        <v>137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1.0573770491803278</v>
      </c>
      <c r="BH17" s="263">
        <f>IF(ISNUMBER(((IF(D_I="SI",Datos!L17/Datos!K17,(Datos!L17+Datos!AF17)/(Datos!K17+Datos!AE17)))*11)/factor_trimestre),((IF(D_I="SI",Datos!L17/Datos!K17,(Datos!L17+Datos!AF17)/(Datos!K17+Datos!AE17)))*11)/factor_trimestre," - ")</f>
        <v>3.8837209302325584</v>
      </c>
      <c r="BI17" s="246">
        <f>IF(ISNUMBER('Resol  Asuntos'!D17/NºAsuntos!G17),'Resol  Asuntos'!D17/NºAsuntos!G17," - ")</f>
        <v>7.7519379844961239E-2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4220</v>
      </c>
      <c r="G18" s="901">
        <f>SUBTOTAL(9,G15:G17)</f>
        <v>4554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2743</v>
      </c>
      <c r="AC18" s="902">
        <f t="shared" si="4"/>
        <v>191</v>
      </c>
      <c r="AD18" s="902">
        <f t="shared" si="4"/>
        <v>0</v>
      </c>
      <c r="AE18" s="902">
        <f t="shared" si="4"/>
        <v>0</v>
      </c>
      <c r="AF18" s="902">
        <f t="shared" si="4"/>
        <v>4347</v>
      </c>
      <c r="AG18" s="902">
        <f t="shared" si="4"/>
        <v>0</v>
      </c>
      <c r="AH18" s="902">
        <f t="shared" si="4"/>
        <v>0</v>
      </c>
      <c r="AI18" s="902">
        <f t="shared" si="4"/>
        <v>0</v>
      </c>
      <c r="AJ18" s="902">
        <f t="shared" si="4"/>
        <v>0</v>
      </c>
      <c r="AK18" s="902">
        <f t="shared" si="4"/>
        <v>0</v>
      </c>
      <c r="AL18" s="902">
        <f t="shared" si="4"/>
        <v>0</v>
      </c>
      <c r="AM18" s="902">
        <f t="shared" si="4"/>
        <v>638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456</v>
      </c>
      <c r="BD18" s="902">
        <f t="shared" si="4"/>
        <v>1375</v>
      </c>
      <c r="BE18" s="902">
        <f t="shared" si="4"/>
        <v>0</v>
      </c>
      <c r="BF18" s="902">
        <f t="shared" si="4"/>
        <v>0</v>
      </c>
      <c r="BG18" s="902">
        <f>IF(ISNUMBER(Datos!K18/Datos!J18),Datos!K18/Datos!J18," - ")</f>
        <v>1.0876288659793814</v>
      </c>
      <c r="BH18" s="906">
        <f>IF(ISNUMBER(((Datos!L18/Datos!K18)*11)/factor_trimestre),((Datos!L18/Datos!K18)*11)/factor_trimestre," - ")</f>
        <v>4.7542836310608818</v>
      </c>
      <c r="BI18" s="902">
        <f>SUBTOTAL(9,BI15:BI17)</f>
        <v>0.25297209614274796</v>
      </c>
      <c r="BJ18" s="902">
        <f>SUBTOTAL(9,BJ15:BJ17)</f>
        <v>0</v>
      </c>
      <c r="BK18" s="902">
        <f>SUBTOTAL(9,BK15:BK17)</f>
        <v>0</v>
      </c>
      <c r="BL18" s="902">
        <f>IF(ISNUMBER((I18-AB18+L18)/(F18)),(I18-AB18+L18)/(F18)," - ")</f>
        <v>-0.65</v>
      </c>
      <c r="BM18" s="908">
        <f>IF(ISNUMBER((Datos!P18-Datos!Q18)/(Datos!R18-Datos!P18+Datos!Q18)),(Datos!P18-Datos!Q18)/(Datos!R18-Datos!P18+Datos!Q18)," - ")</f>
        <v>6.6889632107023408E-2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13</v>
      </c>
      <c r="F19" s="823">
        <f t="shared" si="6"/>
        <v>4306</v>
      </c>
      <c r="G19" s="823">
        <f t="shared" si="6"/>
        <v>4640</v>
      </c>
      <c r="H19" s="825">
        <f t="shared" si="6"/>
        <v>0</v>
      </c>
      <c r="I19" s="823">
        <f t="shared" si="6"/>
        <v>0</v>
      </c>
      <c r="J19" s="825">
        <f t="shared" si="6"/>
        <v>0</v>
      </c>
      <c r="K19" s="825">
        <f t="shared" si="6"/>
        <v>0</v>
      </c>
      <c r="L19" s="884">
        <f t="shared" si="6"/>
        <v>0</v>
      </c>
      <c r="M19" s="884">
        <f t="shared" si="6"/>
        <v>0</v>
      </c>
      <c r="N19" s="884">
        <f t="shared" si="6"/>
        <v>283</v>
      </c>
      <c r="O19" s="884">
        <f t="shared" si="6"/>
        <v>0</v>
      </c>
      <c r="P19" s="884">
        <f t="shared" si="6"/>
        <v>0</v>
      </c>
      <c r="Q19" s="825">
        <f t="shared" si="6"/>
        <v>852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2783</v>
      </c>
      <c r="AC19" s="824">
        <f t="shared" si="7"/>
        <v>670</v>
      </c>
      <c r="AD19" s="824">
        <f t="shared" si="7"/>
        <v>0</v>
      </c>
      <c r="AE19" s="824">
        <f t="shared" si="7"/>
        <v>0</v>
      </c>
      <c r="AF19" s="831">
        <f t="shared" si="7"/>
        <v>4430</v>
      </c>
      <c r="AG19" s="831">
        <f t="shared" si="7"/>
        <v>0</v>
      </c>
      <c r="AH19" s="831">
        <f t="shared" si="7"/>
        <v>284</v>
      </c>
      <c r="AI19" s="831">
        <f t="shared" si="7"/>
        <v>0</v>
      </c>
      <c r="AJ19" s="824">
        <f t="shared" si="7"/>
        <v>0</v>
      </c>
      <c r="AK19" s="831">
        <f t="shared" si="7"/>
        <v>0</v>
      </c>
      <c r="AL19" s="831">
        <f t="shared" si="7"/>
        <v>0</v>
      </c>
      <c r="AM19" s="831">
        <f t="shared" si="7"/>
        <v>10524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1343</v>
      </c>
      <c r="BD19" s="823">
        <f t="shared" si="7"/>
        <v>2756</v>
      </c>
      <c r="BE19" s="823">
        <f t="shared" si="7"/>
        <v>0</v>
      </c>
      <c r="BF19" s="833">
        <f t="shared" si="7"/>
        <v>0</v>
      </c>
      <c r="BG19" s="918">
        <f>IF(ISNUMBER(Datos!K19/Datos!J19),Datos!K19/Datos!J19," - ")</f>
        <v>1.0623156342182891</v>
      </c>
      <c r="BH19" s="918">
        <f>IF(ISNUMBER(((Datos!L19/Datos!K19)*11)/factor_trimestre),((Datos!L19/Datos!K19)*11)/factor_trimestre," - ")</f>
        <v>6.7351614022908715</v>
      </c>
      <c r="BI19" s="816">
        <f>IF(ISNUMBER(Datos!J19/Datos!I19),Datos!J19/Datos!I19," - ")</f>
        <v>0.40883394889575636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-0.64630747793776122</v>
      </c>
      <c r="BM19" s="892">
        <f>IF(ISNUMBER((Datos!P19-Datos!Q19+R19)/(Datos!R19-Datos!P19+Datos!Q19-R19)),(Datos!P19-Datos!Q19+R19)/(Datos!R19-Datos!P19+Datos!Q19-R19)," - ")</f>
        <v>1.7598143492554633E-2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3.018461712712472</v>
      </c>
      <c r="F21" s="554">
        <f>IF(ISNUMBER(STDEV(F8:F18)),STDEV(F8:F18),"-")</f>
        <v>2386.7660128299131</v>
      </c>
      <c r="G21" s="555">
        <f>IF(ISNUMBER(STDEV(G8:G18)),STDEV(G8:G18),"-")</f>
        <v>2309.8467481631765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1375.9511982624965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328.91068406976092</v>
      </c>
      <c r="BD21" s="554"/>
      <c r="BE21" s="554">
        <f>IF(ISNUMBER(STDEV(BE8:BE18)),STDEV(BE8:BE18),"-")</f>
        <v>0</v>
      </c>
      <c r="BF21" s="559">
        <f>IF(ISNUMBER(STDEV(BF8:BF18)),STDEV(BF8:BF18),"-")</f>
        <v>0</v>
      </c>
      <c r="BG21" s="778">
        <f>IF(ISNUMBER(STDEV(BG8:BG18)),STDEV(BG8:BG18),"-")</f>
        <v>8.4662707797728484E-2</v>
      </c>
      <c r="BH21" s="779">
        <f>IF(ISNUMBER(STDEV(BH8:BH18)),STDEV(BH8:BH18),"-")</f>
        <v>2.3890195057616497</v>
      </c>
      <c r="BI21" s="252">
        <f>IF(ISNUMBER(STDEV(BI8:BI18)),STDEV(BI8:BI18),"-")</f>
        <v>8.4896049391686323E-2</v>
      </c>
      <c r="BJ21" s="233" t="str">
        <f>IF(ISNUMBER(BL21/BM21),BL21/BM21," - ")</f>
        <v xml:space="preserve"> - </v>
      </c>
      <c r="BK21" s="578"/>
      <c r="BL21" s="562">
        <f>IF(ISNUMBER(STDEV(BL8:BL18)),STDEV(BL8:BL18),"-")</f>
        <v>0.13073253280076891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GeKP/LCBSbjI1+5dd8IgvrmmeC2Jybi+XWlGzUxRrK+z6ce7WTbPoUzmlFrH2bz4f5XGiEsxPbLqc51mCSnLw==" saltValue="xFJE/CKRcIJdEUor223B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ALBACETE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541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426</v>
      </c>
      <c r="AA9" s="335" t="str">
        <f>IF(ISNUMBER(IF(J_V="SI",Datos!L9,Datos!L9+Datos!AB9)-IF(Monitorios="SI",Datos!CD9,0)),
                          IF(J_V="SI",Datos!L9,Datos!L9+Datos!AB9)-IF(Monitorios="SI",Datos!CD9,0),
                          " - ")</f>
        <v xml:space="preserve"> - </v>
      </c>
      <c r="AB9" s="337"/>
      <c r="AC9" s="337"/>
      <c r="AD9" s="487"/>
      <c r="AE9" s="487">
        <f>IF(ISNUMBER(Datos!R9),Datos!R9," - ")</f>
        <v>9253</v>
      </c>
      <c r="AF9" s="232" t="str">
        <f>IF(ISNUMBER(Datos!BV9),Datos!BV9," - ")</f>
        <v xml:space="preserve"> - </v>
      </c>
      <c r="AG9" s="228" t="str">
        <f>IF(ISNUMBER(Datos!DV9),Datos!DV9," - ")</f>
        <v xml:space="preserve"> - </v>
      </c>
      <c r="AH9" s="301"/>
      <c r="AI9" s="230"/>
      <c r="AJ9" s="228">
        <f>IF(ISNUMBER(Datos!M9),Datos!M9," - ")</f>
        <v>676</v>
      </c>
      <c r="AK9" s="232">
        <f>IF(ISNUMBER(Datos!N9),Datos!N9," - ")</f>
        <v>961</v>
      </c>
      <c r="AL9" s="232" t="str">
        <f>IF(ISNUMBER(Datos!BW9),Datos!BW9," - ")</f>
        <v xml:space="preserve"> - </v>
      </c>
      <c r="AM9" s="231" t="str">
        <f>IF(ISNUMBER(Datos!BX9),Datos!BX9," - ")</f>
        <v xml:space="preserve"> - </v>
      </c>
      <c r="AN9" s="246"/>
      <c r="AO9" s="263">
        <f>IF(ISNUMBER(((NºAsuntos!I9/NºAsuntos!G9)*11)/factor_trimestre),((NºAsuntos!I9/NºAsuntos!G9)*11)/factor_trimestre," - ")</f>
        <v>9.0751381215469618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1.2584810680674107E-2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86</v>
      </c>
      <c r="G10" s="228">
        <f>IF(ISNUMBER(Datos!I10),Datos!I10," - ")</f>
        <v>86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40</v>
      </c>
      <c r="Z10" s="622">
        <f>IF(ISNUMBER(Datos!Q10),Datos!Q10," - ")</f>
        <v>13</v>
      </c>
      <c r="AA10" s="335">
        <f>IF(ISNUMBER(Datos!L10),Datos!L10,"-")</f>
        <v>83</v>
      </c>
      <c r="AB10" s="337"/>
      <c r="AC10" s="337"/>
      <c r="AD10" s="487"/>
      <c r="AE10" s="487">
        <f>IF(ISNUMBER(Datos!R10),Datos!R10," - ")</f>
        <v>53</v>
      </c>
      <c r="AF10" s="232" t="str">
        <f>IF(ISNUMBER(Datos!BV10),Datos!BV10," - ")</f>
        <v xml:space="preserve"> - </v>
      </c>
      <c r="AG10" s="228" t="str">
        <f>IF(ISNUMBER(Datos!DV10),Datos!DV10," - ")</f>
        <v xml:space="preserve"> - </v>
      </c>
      <c r="AH10" s="301"/>
      <c r="AI10" s="230"/>
      <c r="AJ10" s="228">
        <f>IF(ISNUMBER(Datos!M10),Datos!M10," - ")</f>
        <v>18</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6.2250000000000014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-8.6206896551724144E-2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72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40</v>
      </c>
      <c r="AA11" s="335" t="str">
        <f>IF(ISNUMBER(IF(J_V="SI",Datos!L11,Datos!L11+Datos!AB11)-IF(Monitorios="SI",Datos!CD11,0)),
                          IF(J_V="SI",Datos!L11,Datos!L11+Datos!AB11)-IF(Monitorios="SI",Datos!CD11,0),
                          " - ")</f>
        <v xml:space="preserve"> - </v>
      </c>
      <c r="AB11" s="337"/>
      <c r="AC11" s="337"/>
      <c r="AD11" s="487"/>
      <c r="AE11" s="487">
        <f>IF(ISNUMBER(Datos!R11),Datos!R11," - ")</f>
        <v>580</v>
      </c>
      <c r="AF11" s="232" t="str">
        <f>IF(ISNUMBER(Datos!BV11),Datos!BV11," - ")</f>
        <v xml:space="preserve"> - </v>
      </c>
      <c r="AG11" s="228" t="str">
        <f>IF(ISNUMBER(Datos!DV11),Datos!DV11," - ")</f>
        <v xml:space="preserve"> - </v>
      </c>
      <c r="AH11" s="301"/>
      <c r="AI11" s="230"/>
      <c r="AJ11" s="228">
        <f>IF(ISNUMBER(Datos!M11),Datos!M11," - ")</f>
        <v>193</v>
      </c>
      <c r="AK11" s="232">
        <f>IF(ISNUMBER(Datos!N11),Datos!N11," - ")</f>
        <v>404</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2.5990990990990994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5.8394160583941604E-2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86</v>
      </c>
      <c r="G13" s="901">
        <f>SUBTOTAL(9,G8:G12)</f>
        <v>86</v>
      </c>
      <c r="H13" s="911"/>
      <c r="I13" s="901">
        <f t="shared" ref="I13:N13" si="0">SUBTOTAL(9,I8:I12)</f>
        <v>0</v>
      </c>
      <c r="J13" s="870">
        <f t="shared" si="0"/>
        <v>0</v>
      </c>
      <c r="K13" s="911">
        <f t="shared" si="0"/>
        <v>0</v>
      </c>
      <c r="L13" s="911">
        <f t="shared" si="0"/>
        <v>0</v>
      </c>
      <c r="M13" s="911">
        <f t="shared" si="0"/>
        <v>0</v>
      </c>
      <c r="N13" s="911">
        <f t="shared" si="0"/>
        <v>621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40</v>
      </c>
      <c r="Z13" s="910">
        <f t="shared" si="2"/>
        <v>479</v>
      </c>
      <c r="AA13" s="903">
        <f t="shared" si="2"/>
        <v>83</v>
      </c>
      <c r="AB13" s="903">
        <f t="shared" si="2"/>
        <v>0</v>
      </c>
      <c r="AC13" s="903">
        <f t="shared" si="2"/>
        <v>0</v>
      </c>
      <c r="AD13" s="903">
        <f t="shared" si="2"/>
        <v>0</v>
      </c>
      <c r="AE13" s="903">
        <f t="shared" si="2"/>
        <v>9886</v>
      </c>
      <c r="AF13" s="911">
        <f t="shared" si="2"/>
        <v>0</v>
      </c>
      <c r="AG13" s="911">
        <f t="shared" si="2"/>
        <v>0</v>
      </c>
      <c r="AH13" s="911">
        <f t="shared" si="2"/>
        <v>0</v>
      </c>
      <c r="AI13" s="911">
        <f t="shared" si="2"/>
        <v>0</v>
      </c>
      <c r="AJ13" s="911">
        <f t="shared" si="2"/>
        <v>887</v>
      </c>
      <c r="AK13" s="911">
        <f t="shared" si="2"/>
        <v>1381</v>
      </c>
      <c r="AL13" s="911">
        <f t="shared" si="2"/>
        <v>0</v>
      </c>
      <c r="AM13" s="911">
        <f t="shared" si="2"/>
        <v>0</v>
      </c>
      <c r="AN13" s="911">
        <f t="shared" si="2"/>
        <v>0</v>
      </c>
      <c r="AO13" s="907">
        <f>IF(ISNUMBER(((NºAsuntos!I13/NºAsuntos!G13)*11)/factor_trimestre),((NºAsuntos!I13/NºAsuntos!G13)*11)/factor_trimestre," - ")</f>
        <v>7.7810581701256956</v>
      </c>
      <c r="AP13" s="913" t="str">
        <f>IF(ISNUMBER(Datos!CI13/Datos!CJ13),Datos!CI13/Datos!CJ13," - ")</f>
        <v xml:space="preserve"> - </v>
      </c>
      <c r="AQ13" s="931">
        <f t="shared" ref="AQ13:AV13" si="3">SUBTOTAL(9,AQ9:AQ12)</f>
        <v>0</v>
      </c>
      <c r="AR13" s="931">
        <f t="shared" si="3"/>
        <v>-1.5227925287108438E-2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4220</v>
      </c>
      <c r="G15" s="228">
        <f>IF(ISNUMBER(IF(D_I="SI",Datos!I15,Datos!I15+Datos!AC15)),IF(D_I="SI",Datos!I15,Datos!I15+Datos!AC15)," - ")</f>
        <v>4206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228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2485</v>
      </c>
      <c r="Z15" s="622">
        <f>IF(ISNUMBER(Datos!Q15),Datos!Q15," - ")</f>
        <v>191</v>
      </c>
      <c r="AA15" s="335">
        <f>IF(ISNUMBER(IF(D_I="SI",Datos!L15,Datos!L15+Datos!AF15)),IF(D_I="SI",Datos!L15,Datos!L15+Datos!AF15)," - ")</f>
        <v>4013</v>
      </c>
      <c r="AB15" s="337"/>
      <c r="AC15" s="337"/>
      <c r="AD15" s="487"/>
      <c r="AE15" s="487">
        <f>IF(ISNUMBER(Datos!R15),Datos!R15," - ")</f>
        <v>632</v>
      </c>
      <c r="AF15" s="232" t="str">
        <f>IF(ISNUMBER(Datos!BV15),Datos!BV15," - ")</f>
        <v xml:space="preserve"> - </v>
      </c>
      <c r="AG15" s="228"/>
      <c r="AH15" s="301"/>
      <c r="AI15" s="230"/>
      <c r="AJ15" s="228">
        <f>IF(ISNUMBER(Datos!M15),Datos!M15," - ")</f>
        <v>436</v>
      </c>
      <c r="AK15" s="232">
        <f>IF(ISNUMBER(Datos!N15),Datos!N15," - ")</f>
        <v>1238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4.8446680080482896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258</v>
      </c>
      <c r="Z17" s="622">
        <f>IF(ISNUMBER(Datos!Q17),Datos!Q17," - ")</f>
        <v>0</v>
      </c>
      <c r="AA17" s="335">
        <f>IF(ISNUMBER(Datos!L17),Datos!L17,"-")</f>
        <v>334</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20</v>
      </c>
      <c r="AK17" s="232">
        <f>IF(ISNUMBER(Datos!N17),Datos!N17," - ")</f>
        <v>137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3.8837209302325584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4220</v>
      </c>
      <c r="G18" s="901">
        <f>SUBTOTAL(9,G15:G17)</f>
        <v>4554</v>
      </c>
      <c r="H18" s="935">
        <f>SUBTOTAL(9,H15:H17)</f>
        <v>0</v>
      </c>
      <c r="I18" s="914">
        <f>SUBTOTAL(9,I15:I17)</f>
        <v>0</v>
      </c>
      <c r="J18" s="870">
        <f>SUBTOTAL(9,J14:J17)</f>
        <v>0</v>
      </c>
      <c r="K18" s="935">
        <f t="shared" ref="K18:S18" si="4">SUBTOTAL(9,K15:K17)</f>
        <v>0</v>
      </c>
      <c r="L18" s="935">
        <f t="shared" si="4"/>
        <v>0</v>
      </c>
      <c r="M18" s="935">
        <f t="shared" si="4"/>
        <v>0</v>
      </c>
      <c r="N18" s="935">
        <f t="shared" si="4"/>
        <v>231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2743</v>
      </c>
      <c r="Z18" s="935">
        <f t="shared" si="5"/>
        <v>191</v>
      </c>
      <c r="AA18" s="935">
        <f t="shared" si="5"/>
        <v>4347</v>
      </c>
      <c r="AB18" s="935">
        <f t="shared" si="5"/>
        <v>0</v>
      </c>
      <c r="AC18" s="935">
        <f t="shared" si="5"/>
        <v>0</v>
      </c>
      <c r="AD18" s="935">
        <f t="shared" si="5"/>
        <v>0</v>
      </c>
      <c r="AE18" s="935">
        <f t="shared" si="5"/>
        <v>638</v>
      </c>
      <c r="AF18" s="935">
        <f t="shared" si="5"/>
        <v>0</v>
      </c>
      <c r="AG18" s="935">
        <f t="shared" si="5"/>
        <v>0</v>
      </c>
      <c r="AH18" s="935">
        <f t="shared" si="5"/>
        <v>0</v>
      </c>
      <c r="AI18" s="935">
        <f t="shared" si="5"/>
        <v>0</v>
      </c>
      <c r="AJ18" s="935">
        <f t="shared" si="5"/>
        <v>456</v>
      </c>
      <c r="AK18" s="935">
        <f t="shared" si="5"/>
        <v>1375</v>
      </c>
      <c r="AL18" s="935">
        <f t="shared" si="5"/>
        <v>0</v>
      </c>
      <c r="AM18" s="935">
        <f t="shared" si="5"/>
        <v>0</v>
      </c>
      <c r="AN18" s="935">
        <f t="shared" si="5"/>
        <v>0</v>
      </c>
      <c r="AO18" s="937">
        <f>IF(ISNUMBER(((NºAsuntos!I18/NºAsuntos!G18)*11)/factor_trimestre),((NºAsuntos!I18/NºAsuntos!G18)*11)/factor_trimestre," - ")</f>
        <v>4.7542836310608818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4306</v>
      </c>
      <c r="G19" s="823">
        <f t="shared" si="7"/>
        <v>4640</v>
      </c>
      <c r="H19" s="824">
        <f t="shared" si="7"/>
        <v>0</v>
      </c>
      <c r="I19" s="823">
        <f t="shared" si="7"/>
        <v>0</v>
      </c>
      <c r="J19" s="825">
        <f t="shared" si="7"/>
        <v>0</v>
      </c>
      <c r="K19" s="823">
        <f t="shared" si="7"/>
        <v>0</v>
      </c>
      <c r="L19" s="826">
        <f t="shared" si="7"/>
        <v>0</v>
      </c>
      <c r="M19" s="823">
        <f t="shared" si="7"/>
        <v>0</v>
      </c>
      <c r="N19" s="824">
        <f t="shared" si="7"/>
        <v>852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2783</v>
      </c>
      <c r="Z19" s="830">
        <f t="shared" si="8"/>
        <v>670</v>
      </c>
      <c r="AA19" s="831">
        <f t="shared" si="8"/>
        <v>4430</v>
      </c>
      <c r="AB19" s="831">
        <f t="shared" si="8"/>
        <v>0</v>
      </c>
      <c r="AC19" s="831">
        <f t="shared" si="8"/>
        <v>0</v>
      </c>
      <c r="AD19" s="832">
        <f t="shared" si="8"/>
        <v>0</v>
      </c>
      <c r="AE19" s="832">
        <f t="shared" si="8"/>
        <v>10524</v>
      </c>
      <c r="AF19" s="833">
        <f t="shared" si="8"/>
        <v>0</v>
      </c>
      <c r="AG19" s="834">
        <f t="shared" si="8"/>
        <v>0</v>
      </c>
      <c r="AH19" s="835">
        <f t="shared" si="8"/>
        <v>0</v>
      </c>
      <c r="AI19" s="833">
        <f t="shared" si="8"/>
        <v>0</v>
      </c>
      <c r="AJ19" s="823">
        <f t="shared" si="8"/>
        <v>1343</v>
      </c>
      <c r="AK19" s="823">
        <f t="shared" si="8"/>
        <v>2756</v>
      </c>
      <c r="AL19" s="823">
        <f t="shared" si="8"/>
        <v>0</v>
      </c>
      <c r="AM19" s="836">
        <f t="shared" si="8"/>
        <v>0</v>
      </c>
      <c r="AN19" s="826">
        <f>IF(ISNUMBER(Datos!K19/Datos!J19),Datos!K19/Datos!J19," - ")</f>
        <v>1.0623156342182891</v>
      </c>
      <c r="AO19" s="826">
        <f>IF(ISNUMBER(FIND("06",Criterios!A8,1)),(IF(ISNUMBER(((Datos!R19/Datos!Q19)*11)/factor_trimestre),((Datos!R19/Datos!Q19)*11)/factor_trimestre," - ")),(IF(ISNUMBER(((Datos!L19/Datos!K19)*11)/factor_trimestre),((Datos!L19/Datos!K19)*11)/factor_trimestre," - ")))</f>
        <v>6.7351614022908715</v>
      </c>
      <c r="AP19" s="837" t="str">
        <f>IF(ISNUMBER(Datos!CI19/Datos!CJ19),Datos!CI19/Datos!CJ19," - ")</f>
        <v xml:space="preserve"> - </v>
      </c>
      <c r="AQ19" s="837">
        <f>IF(OR(ISNUMBER(FIND("01",Criterios!A8,1)),ISNUMBER(FIND("02",Criterios!A8,1)),ISNUMBER(FIND("03",Criterios!A8,1)),ISNUMBER(FIND("04",Criterios!A8,1))),(J19-Y19+K19)/(F19-K19),(I19-Y19+K19)/(F19-K19))</f>
        <v>-0.64630747793776122</v>
      </c>
      <c r="AR19" s="837">
        <f>IF(ISNUMBER((Datos!P19-Datos!Q19+O19)/(Datos!R19-Datos!P19+Datos!Q19-O19)),(Datos!P19-Datos!Q19+O19)/(Datos!R19-Datos!P19+Datos!Q19-O19)," - ")</f>
        <v>1.7598143492554633E-2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2386.7660128299131</v>
      </c>
      <c r="G21" s="555">
        <f>IF(ISNUMBER(STDEV(G8:G18)),STDEV(G8:G18),"-")</f>
        <v>2309.8467481631765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328.91068406976092</v>
      </c>
      <c r="AK21" s="255"/>
      <c r="AL21" s="255">
        <f>IF(ISNUMBER(STDEV(AL8:AL18)),STDEV(AL8:AL18),"-")</f>
        <v>0</v>
      </c>
      <c r="AM21" s="257">
        <f>IF(ISNUMBER(STDEV(AM8:AM18)),STDEV(AM8:AM18),"-")</f>
        <v>0</v>
      </c>
      <c r="AN21" s="542">
        <f>IF(ISNUMBER(STDEV(AN8:AN18)),STDEV(AN8:AN18),"-")</f>
        <v>0</v>
      </c>
      <c r="AO21" s="543">
        <f>IF(ISNUMBER(STDEV(AO8:AO18)),STDEV(AO8:AO18),"-")</f>
        <v>2.2531759604361952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TgfugD+CIuUZCF9NMshDVaG9vpYnF2lS87lUpBwzINmgj9g5q85C/AKQXklbiS1p9mQigW0NxJt7VF6CbdU4A==" saltValue="iHkugvzft+ovqoB2BByR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91cOKPKIaH5o3nlhwt4nMGXJVgo3Y1RbpBVa/gcCZjMW5eKXmIbz2kcdRvVpt/jPxIrAi9HH0RjxqqkjuF07/A==" saltValue="7joiSpS0Sza9Wqx9MGCl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Y5JKmJvgPXk7T9kAKV+nMssRPKIOgcmD7P7j4Xui6VqYkCzcAvgb4eTMDkNKDUUQMcGmZSdZ3hPCxZHKOyGKw==" saltValue="L8iqh3wzRkGBKCn8hFc9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ALBACETE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0.25928091201403097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0.18333929111735386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236Mh7miI/CUKIqSNVTzn3Pkuj+3bauaerjsjFDcgSu/XrdbIG73EFt8OXPW/7zNen9Rir7/wLaLxLNC9zl9zg==" saltValue="T9utSSbitnFgy8OZ2qv2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FQdQctKBKW9Mg8SlbEP0zEOttvHCM6gZ7wad/1jwXCoXxPQZTKvcZErQJWa//TR1RC3sGzkf6FlGI5jeeiMhA==" saltValue="n/Txnd085BbYEsWsuL+i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ALBACETE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8300</v>
      </c>
      <c r="D9" s="407">
        <f>IF(ISNUMBER(C9/Datos!BH9),C9/Datos!BH9," - ")</f>
        <v>1383.3333333333333</v>
      </c>
      <c r="E9" s="406">
        <f>IF(ISNUMBER(IF(J_V="SI",Datos!J9,Datos!J9+Datos!Z9)),IF(J_V="SI",Datos!J9,Datos!J9+Datos!Z9)," - ")</f>
        <v>2628</v>
      </c>
      <c r="F9" s="407">
        <f>IF(ISNUMBER(E9/B9),E9/B9," - ")</f>
        <v>438</v>
      </c>
      <c r="G9" s="406">
        <f>IF(ISNUMBER(IF(J_V="SI",Datos!K9,Datos!K9+Datos!AA9)),IF(J_V="SI",Datos!K9,Datos!K9+Datos!AA9)," - ")</f>
        <v>2715</v>
      </c>
      <c r="H9" s="407">
        <f>IF(ISNUMBER(G9/B9),G9/B9," - ")</f>
        <v>452.5</v>
      </c>
      <c r="I9" s="406">
        <f>IF(ISNUMBER(IF(J_V="SI",Datos!L9,Datos!L9+Datos!AB9)),IF(J_V="SI",Datos!L9,Datos!L9+Datos!AB9)," - ")</f>
        <v>8213</v>
      </c>
      <c r="J9" s="407">
        <f>IF(ISNUMBER(I9/B9),I9/B9," - ")</f>
        <v>1368.8333333333333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86</v>
      </c>
      <c r="D10" s="407">
        <f>IF(ISNUMBER(C10/Datos!BH10),C10/Datos!BH10," - ")</f>
        <v>86</v>
      </c>
      <c r="E10" s="406">
        <f>IF(ISNUMBER(Datos!J10),Datos!J10," - ")</f>
        <v>37</v>
      </c>
      <c r="F10" s="407">
        <f>IF(ISNUMBER(E10/B10),E10/B10," - ")</f>
        <v>37</v>
      </c>
      <c r="G10" s="406">
        <f>IF(ISNUMBER(Datos!K10),Datos!K10," - ")</f>
        <v>40</v>
      </c>
      <c r="H10" s="407">
        <f>IF(ISNUMBER(G10/B10),G10/B10," - ")</f>
        <v>40</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721</v>
      </c>
      <c r="D11" s="407">
        <f>IF(ISNUMBER(C11/Datos!BH11),C11/Datos!BH11," - ")</f>
        <v>360.5</v>
      </c>
      <c r="E11" s="406">
        <f>IF(ISNUMBER(IF(J_V="SI",Datos!J11,Datos!J11+Datos!Z11)),IF(J_V="SI",Datos!J11,Datos!J11+Datos!Z11)," - ")</f>
        <v>520</v>
      </c>
      <c r="F11" s="407">
        <f>IF(ISNUMBER(E11/B11),E11/B11," - ")</f>
        <v>260</v>
      </c>
      <c r="G11" s="406">
        <f>IF(ISNUMBER(IF(J_V="SI",Datos!K11,Datos!K11+Datos!AA11)),IF(J_V="SI",Datos!K11,Datos!K11+Datos!AA11)," - ")</f>
        <v>666</v>
      </c>
      <c r="H11" s="407">
        <f>IF(ISNUMBER(G11/B11),G11/B11," - ")</f>
        <v>333</v>
      </c>
      <c r="I11" s="406">
        <f>IF(ISNUMBER(IF(J_V="SI",Datos!L11,Datos!L11+Datos!AB11)),IF(J_V="SI",Datos!L11,Datos!L11+Datos!AB11)," - ")</f>
        <v>577</v>
      </c>
      <c r="J11" s="407">
        <f>IF(ISNUMBER(I11/B11),I11/B11," - ")</f>
        <v>288.5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9107</v>
      </c>
      <c r="D13" s="853" t="str">
        <f>IF(ISNUMBER(C13/Datos!BI13),C13/Datos!BI13," - ")</f>
        <v xml:space="preserve"> - </v>
      </c>
      <c r="E13" s="852">
        <f>SUBTOTAL(9,E8:E12)</f>
        <v>3185</v>
      </c>
      <c r="F13" s="853">
        <f>IF(ISNUMBER(E13/B13),E13/B13," - ")</f>
        <v>353.88888888888891</v>
      </c>
      <c r="G13" s="852">
        <f>SUBTOTAL(9,G8:G12)</f>
        <v>3421</v>
      </c>
      <c r="H13" s="853">
        <f>IF(ISNUMBER(G13/B13),G13/B13," - ")</f>
        <v>380.11111111111109</v>
      </c>
      <c r="I13" s="852">
        <f>SUBTOTAL(9,I8:I12)</f>
        <v>8873</v>
      </c>
      <c r="J13" s="853">
        <f>IF(ISNUMBER(I13/B13),I13/B13," - ")</f>
        <v>985.88888888888891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4206</v>
      </c>
      <c r="D15" s="407">
        <f>IF(ISNUMBER(C15/Datos!BH15),C15/Datos!BH15," - ")</f>
        <v>1402</v>
      </c>
      <c r="E15" s="406">
        <f>IF(ISNUMBER(IF(D_I="SI",Datos!J15,Datos!J15+Datos!AD15)),IF(D_I="SI",Datos!J15,Datos!J15+Datos!AD15)," - ")</f>
        <v>2278</v>
      </c>
      <c r="F15" s="407">
        <f>IF(ISNUMBER(E15/B15),E15/B15," - ")</f>
        <v>759.33333333333337</v>
      </c>
      <c r="G15" s="406">
        <f>IF(ISNUMBER(IF(D_I="SI",Datos!K15,Datos!K15+Datos!AE15)),IF(D_I="SI",Datos!K15,Datos!K15+Datos!AE15)," - ")</f>
        <v>2485</v>
      </c>
      <c r="H15" s="407">
        <f>IF(ISNUMBER(G15/B15),G15/B15," - ")</f>
        <v>828.33333333333337</v>
      </c>
      <c r="I15" s="406">
        <f>IF(ISNUMBER(IF(D_I="SI",Datos!L15,Datos!L15+Datos!AF15)),IF(D_I="SI",Datos!L15,Datos!L15+Datos!AF15)," - ")</f>
        <v>4013</v>
      </c>
      <c r="J15" s="407">
        <f>IF(ISNUMBER(I15/B15),I15/B15," - ")</f>
        <v>1337.6666666666667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348</v>
      </c>
      <c r="D17" s="407">
        <f>IF(ISNUMBER(C17/Datos!BH17),C17/Datos!BH17," - ")</f>
        <v>348</v>
      </c>
      <c r="E17" s="406">
        <f>IF(ISNUMBER(IF(D_I="SI",Datos!J17,Datos!J17+Datos!AD17)),IF(D_I="SI",Datos!J17,Datos!J17+Datos!AD17)," - ")</f>
        <v>244</v>
      </c>
      <c r="F17" s="407">
        <f>IF(ISNUMBER(E17/B17),E17/B17," - ")</f>
        <v>244</v>
      </c>
      <c r="G17" s="406">
        <f>IF(ISNUMBER(IF(D_I="SI",Datos!K17,Datos!K17+Datos!AE17)),IF(D_I="SI",Datos!K17,Datos!K17+Datos!AE17)," - ")</f>
        <v>258</v>
      </c>
      <c r="H17" s="407">
        <f>IF(ISNUMBER(G17/B17),G17/B17," - ")</f>
        <v>258</v>
      </c>
      <c r="I17" s="406">
        <f>IF(ISNUMBER(IF(D_I="SI",Datos!L17,Datos!L17+Datos!AF17)),IF(D_I="SI",Datos!L17,Datos!L17+Datos!AF17)," - ")</f>
        <v>334</v>
      </c>
      <c r="J17" s="407">
        <f>IF(ISNUMBER(I17/B17),I17/B17," - ")</f>
        <v>334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4554</v>
      </c>
      <c r="D18" s="853" t="str">
        <f>IF(ISNUMBER(C18/Datos!BI18),C18/Datos!BI18," - ")</f>
        <v xml:space="preserve"> - </v>
      </c>
      <c r="E18" s="852">
        <f>SUBTOTAL(9,E14:E17)</f>
        <v>2522</v>
      </c>
      <c r="F18" s="853">
        <f>IF(ISNUMBER(E18/B18),E18/B18," - ")</f>
        <v>630.5</v>
      </c>
      <c r="G18" s="852">
        <f>SUBTOTAL(9,G14:G17)</f>
        <v>2743</v>
      </c>
      <c r="H18" s="853">
        <f>IF(ISNUMBER(G18/B18),G18/B18," - ")</f>
        <v>685.75</v>
      </c>
      <c r="I18" s="852">
        <f>SUBTOTAL(9,I14:I17)</f>
        <v>4347</v>
      </c>
      <c r="J18" s="853">
        <f>IF(ISNUMBER(I18/B18),I18/B18," - ")</f>
        <v>1086.75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13661</v>
      </c>
      <c r="D19" s="798" t="str">
        <f>IF(ISNUMBER(C19/Datos!BI19),C19/Datos!BI19," - ")</f>
        <v xml:space="preserve"> - </v>
      </c>
      <c r="E19" s="797">
        <f>SUBTOTAL(9,E9:E18)</f>
        <v>5707</v>
      </c>
      <c r="F19" s="798">
        <f>IF(ISNUMBER(E19/B19),E19/B19," - ")</f>
        <v>475.58333333333331</v>
      </c>
      <c r="G19" s="797">
        <f>SUBTOTAL(9,G9:G18)</f>
        <v>6164</v>
      </c>
      <c r="H19" s="798">
        <f>IF(ISNUMBER(G19/B19),G19/B19," - ")</f>
        <v>513.66666666666663</v>
      </c>
      <c r="I19" s="797">
        <f>SUBTOTAL(9,I9:I18)</f>
        <v>13220</v>
      </c>
      <c r="J19" s="798">
        <f>IF(ISNUMBER(I19/B19),I19/B19," - ")</f>
        <v>1101.6666666666667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A5swTbnwGg6Gy8DTzT0OiNeLxEaQd7/tfV9U/EV1GyaTa7/389puSfPtJEtnjZBr5grlAq9XOtoNig6c6wFvw==" saltValue="IpHdBGBexregO32d66qK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ALBACETE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86</v>
      </c>
      <c r="G10" s="687">
        <f>IF(ISNUMBER(Datos!I10),Datos!I10," - ")</f>
        <v>86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40</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18</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6.2250000000000014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86</v>
      </c>
      <c r="G13" s="941">
        <f t="shared" si="0"/>
        <v>86</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40</v>
      </c>
      <c r="AC13" s="942">
        <f t="shared" si="1"/>
        <v>0</v>
      </c>
      <c r="AD13" s="942">
        <f t="shared" si="1"/>
        <v>0</v>
      </c>
      <c r="AE13" s="942">
        <f t="shared" si="1"/>
        <v>0</v>
      </c>
      <c r="AF13" s="942">
        <f t="shared" si="1"/>
        <v>83</v>
      </c>
      <c r="AG13" s="942">
        <f t="shared" si="1"/>
        <v>0</v>
      </c>
      <c r="AH13" s="942">
        <f t="shared" si="1"/>
        <v>0</v>
      </c>
      <c r="AI13" s="942">
        <f t="shared" si="1"/>
        <v>0</v>
      </c>
      <c r="AJ13" s="942">
        <f t="shared" si="1"/>
        <v>0</v>
      </c>
      <c r="AK13" s="942">
        <f t="shared" si="1"/>
        <v>0</v>
      </c>
      <c r="AL13" s="942">
        <f t="shared" si="1"/>
        <v>18</v>
      </c>
      <c r="AM13" s="942">
        <f t="shared" si="1"/>
        <v>16</v>
      </c>
      <c r="AN13" s="942">
        <f t="shared" si="1"/>
        <v>0</v>
      </c>
      <c r="AO13" s="942">
        <f t="shared" si="1"/>
        <v>0</v>
      </c>
      <c r="AP13" s="947">
        <f>IF(ISNUMBER(((Datos!L13/Datos!K13)*11)/factor_trimestre),((Datos!L13/Datos!K13)*11)/factor_trimestre," - ")</f>
        <v>8.5349453461411073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-0.46511627906976744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4.7542836310608818</v>
      </c>
      <c r="AQ18" s="947">
        <f>IF(ISNUMBER(((Datos!M18/Datos!L18)*11)/factor_trimestre),((Datos!M18/Datos!L18)*11)/factor_trimestre," - ")</f>
        <v>0.31469979296066253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6.6889632107023408E-2</v>
      </c>
      <c r="AW18" s="949">
        <f>IF(ISNUMBER((Datos!Q18-Datos!R18)/(Datos!S18-Datos!Q18+Datos!R18)),(Datos!Q18-Datos!R18)/(Datos!S18-Datos!Q18+Datos!R18)," - ")</f>
        <v>-0.11787974683544304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86</v>
      </c>
      <c r="G19" s="954">
        <f t="shared" si="4"/>
        <v>86</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40</v>
      </c>
      <c r="AC19" s="960">
        <f t="shared" si="5"/>
        <v>0</v>
      </c>
      <c r="AD19" s="960">
        <f t="shared" si="5"/>
        <v>0</v>
      </c>
      <c r="AE19" s="960">
        <f t="shared" si="5"/>
        <v>0</v>
      </c>
      <c r="AF19" s="961">
        <f t="shared" si="5"/>
        <v>83</v>
      </c>
      <c r="AG19" s="961">
        <f t="shared" si="5"/>
        <v>0</v>
      </c>
      <c r="AH19" s="961">
        <f t="shared" si="5"/>
        <v>0</v>
      </c>
      <c r="AI19" s="961">
        <f t="shared" si="5"/>
        <v>0</v>
      </c>
      <c r="AJ19" s="962">
        <f t="shared" si="5"/>
        <v>0</v>
      </c>
      <c r="AK19" s="962">
        <f t="shared" si="5"/>
        <v>0</v>
      </c>
      <c r="AL19" s="954">
        <f t="shared" si="5"/>
        <v>18</v>
      </c>
      <c r="AM19" s="954">
        <f t="shared" si="5"/>
        <v>16</v>
      </c>
      <c r="AN19" s="954">
        <f t="shared" si="5"/>
        <v>0</v>
      </c>
      <c r="AO19" s="954">
        <f t="shared" si="5"/>
        <v>0</v>
      </c>
      <c r="AP19" s="954">
        <f>IF(ISNUMBER(((Datos!L19/Datos!K19)*11)/factor_trimestre),((Datos!L19/Datos!K19)*11)/factor_trimestre," - ")</f>
        <v>6.7351614022908715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-0.46511627906976744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1.7598143492554633E-2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57.333333333333336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3.687817782917155</v>
      </c>
      <c r="F21" s="739">
        <f>IF(ISNUMBER(STDEV(F8:F18)),STDEV(F8:F18),"-")</f>
        <v>49.652123150307816</v>
      </c>
      <c r="G21" s="740">
        <f>IF(ISNUMBER(STDEV(G8:G18)),STDEV(G8:G18),"-")</f>
        <v>49.652123150307816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23.094010767585029</v>
      </c>
      <c r="AC21" s="741">
        <f>IF(ISNUMBER(STDEV(AC8:AC18)),STDEV(AC8:AC18),"-")</f>
        <v>0</v>
      </c>
      <c r="AD21" s="744"/>
      <c r="AE21" s="744"/>
      <c r="AF21" s="744"/>
      <c r="AG21" s="744"/>
      <c r="AH21" s="744"/>
      <c r="AI21" s="744"/>
      <c r="AJ21" s="745">
        <f>IF(ISNUMBER(STDEV(AJ8:AJ18)),STDEV(AJ8:AJ18),"-")</f>
        <v>0</v>
      </c>
      <c r="AK21" s="747"/>
      <c r="AL21" s="739">
        <f>IF(ISNUMBER(STDEV(AL8:AL18)),STDEV(AL8:AL18),"-")</f>
        <v>10.392304845413264</v>
      </c>
      <c r="AM21" s="739"/>
      <c r="AN21" s="739">
        <f>IF(ISNUMBER(STDEV(AN8:AN18)),STDEV(AN8:AN18),"-")</f>
        <v>0</v>
      </c>
      <c r="AO21" s="745">
        <f>IF(ISNUMBER(STDEV(AO8:AO18)),STDEV(AO8:AO18),"-")</f>
        <v>0</v>
      </c>
      <c r="AP21" s="782">
        <f>IF(ISNUMBER(STDEV(AP8:AP18)),STDEV(AP8:AP18),"-")</f>
        <v>1.905791923929866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4TfJEGW0Kj9hAQorLVnxZJz0qljV+0wdZ3GPzabebeCGs4BSEE+C97vHkPiw+q+cml3jrfqxNLsWBtG6Akh3Q==" saltValue="2jkVKwjr9EZ0QehKEdQx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ALBACETE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q8DmbVgj93EURbzTl/Tf1L5UjG33OVzoPMIGodrVbZ28JO9Ft3VxaEBjTHVwVvMaOGhJYDT+7D+do/8E9kScw==" saltValue="ljaIFL0Q5j7a3jiGuC95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ALBACETE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676</v>
      </c>
      <c r="E9" s="407">
        <f t="shared" ref="E9:E13" si="0">IF(ISNUMBER(D9/B9),D9/B9," - ")</f>
        <v>112.66666666666667</v>
      </c>
      <c r="F9" s="406">
        <f>IF(ISNUMBER(Datos!N9),Datos!N9," - ")</f>
        <v>961</v>
      </c>
      <c r="G9" s="407">
        <f t="shared" ref="G9:G13" si="1">IF(ISNUMBER(F9/B9),F9/B9," - ")</f>
        <v>160.16666666666666</v>
      </c>
      <c r="H9" s="406">
        <f>IF(ISNUMBER(Datos!O9),Datos!O9," - ")</f>
        <v>1382</v>
      </c>
      <c r="I9" s="407">
        <f>IF(ISNUMBER(H9/B9),H9/B9," - ")</f>
        <v>230.33333333333334</v>
      </c>
    </row>
    <row r="10" spans="1:9">
      <c r="A10" s="405" t="str">
        <f>Datos!A10</f>
        <v>Jdos. Violencia contra la mujer</v>
      </c>
      <c r="B10" s="430">
        <f>Datos!AO10</f>
        <v>1</v>
      </c>
      <c r="C10" s="413">
        <f>Datos!AQ10</f>
        <v>1</v>
      </c>
      <c r="D10" s="406">
        <f>IF(ISNUMBER(Datos!M10),Datos!M10," - ")</f>
        <v>18</v>
      </c>
      <c r="E10" s="407">
        <f>IF(ISNUMBER(D10/B10),D10/B10," - ")</f>
        <v>18</v>
      </c>
      <c r="F10" s="406">
        <f>IF(ISNUMBER(Datos!N10),Datos!N10," - ")</f>
        <v>16</v>
      </c>
      <c r="G10" s="407">
        <f>IF(ISNUMBER(F10/B10),F10/B10," - ")</f>
        <v>16</v>
      </c>
      <c r="H10" s="406">
        <f>IF(ISNUMBER(Datos!O10),Datos!O10," - ")</f>
        <v>10</v>
      </c>
      <c r="I10" s="407">
        <f t="shared" ref="I10:I12" si="2">IF(ISNUMBER(H10/B10),H10/B10," - ")</f>
        <v>10</v>
      </c>
    </row>
    <row r="11" spans="1:9">
      <c r="A11" s="405" t="str">
        <f>Datos!A11</f>
        <v xml:space="preserve">Jdos. Familia                                   </v>
      </c>
      <c r="B11" s="430">
        <f>Datos!AO11</f>
        <v>2</v>
      </c>
      <c r="C11" s="413">
        <f>Datos!AQ11</f>
        <v>2</v>
      </c>
      <c r="D11" s="406">
        <f>IF(ISNUMBER(Datos!M11),Datos!M11," - ")</f>
        <v>193</v>
      </c>
      <c r="E11" s="407">
        <f t="shared" si="0"/>
        <v>96.5</v>
      </c>
      <c r="F11" s="406">
        <f>IF(ISNUMBER(Datos!N11),Datos!N11," - ")</f>
        <v>404</v>
      </c>
      <c r="G11" s="407">
        <f t="shared" si="1"/>
        <v>202</v>
      </c>
      <c r="H11" s="406">
        <f>IF(ISNUMBER(Datos!O11),Datos!O11," - ")</f>
        <v>153</v>
      </c>
      <c r="I11" s="407">
        <f t="shared" si="2"/>
        <v>76.5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887</v>
      </c>
      <c r="E13" s="853">
        <f t="shared" si="0"/>
        <v>98.555555555555557</v>
      </c>
      <c r="F13" s="852">
        <f>SUBTOTAL(9,F9:F12)</f>
        <v>1381</v>
      </c>
      <c r="G13" s="853">
        <f t="shared" si="1"/>
        <v>153.44444444444446</v>
      </c>
      <c r="H13" s="852">
        <f>SUBTOTAL(9,H9:H12)</f>
        <v>1545</v>
      </c>
      <c r="I13" s="853">
        <f>IF(ISNUMBER(H13/B13),H13/B13," - ")</f>
        <v>171.66666666666666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436</v>
      </c>
      <c r="E15" s="407">
        <f t="shared" ref="E15:E18" si="3">IF(ISNUMBER(D15/B15),D15/B15," - ")</f>
        <v>145.33333333333334</v>
      </c>
      <c r="F15" s="406">
        <f>IF(ISNUMBER(Datos!N15),Datos!N15," - ")</f>
        <v>1238</v>
      </c>
      <c r="G15" s="407">
        <f t="shared" ref="G15:G18" si="4">IF(ISNUMBER(F15/B15),F15/B15," - ")</f>
        <v>412.66666666666669</v>
      </c>
      <c r="H15" s="406">
        <f>IF(ISNUMBER(Datos!O15),Datos!O15," - ")</f>
        <v>118</v>
      </c>
      <c r="I15" s="407">
        <f t="shared" ref="I15:I17" si="5">IF(ISNUMBER(H15/B15),H15/B15," - ")</f>
        <v>39.333333333333336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20</v>
      </c>
      <c r="E17" s="407">
        <f>IF(ISNUMBER(D17/B17),D17/B17," - ")</f>
        <v>20</v>
      </c>
      <c r="F17" s="406">
        <f>IF(ISNUMBER(Datos!N17),Datos!N17," - ")</f>
        <v>137</v>
      </c>
      <c r="G17" s="407">
        <f>IF(ISNUMBER(F17/B17),F17/B17," - ")</f>
        <v>137</v>
      </c>
      <c r="H17" s="406">
        <f>IF(ISNUMBER(Datos!O17),Datos!O17," - ")</f>
        <v>0</v>
      </c>
      <c r="I17" s="407">
        <f t="shared" si="5"/>
        <v>0</v>
      </c>
    </row>
    <row r="18" spans="1:9" ht="14.25" thickTop="1" thickBot="1">
      <c r="A18" s="851" t="str">
        <f>Datos!A18</f>
        <v>TOTAL</v>
      </c>
      <c r="B18" s="852">
        <f>Datos!AO18</f>
        <v>4</v>
      </c>
      <c r="C18" s="854">
        <f>Datos!AR18</f>
        <v>4</v>
      </c>
      <c r="D18" s="852">
        <f>SUBTOTAL(9,D15:D17)</f>
        <v>456</v>
      </c>
      <c r="E18" s="853">
        <f t="shared" si="3"/>
        <v>114</v>
      </c>
      <c r="F18" s="852">
        <f>SUBTOTAL(9,F15:F17)</f>
        <v>1375</v>
      </c>
      <c r="G18" s="853">
        <f t="shared" si="4"/>
        <v>343.75</v>
      </c>
      <c r="H18" s="852">
        <f>SUBTOTAL(9,H15:H17)</f>
        <v>118</v>
      </c>
      <c r="I18" s="853">
        <f>IF(ISNUMBER(H18/B18),H18/B18," - ")</f>
        <v>29.5</v>
      </c>
    </row>
    <row r="19" spans="1:9" ht="14.25" thickTop="1" thickBot="1">
      <c r="A19" s="796" t="str">
        <f>Datos!A19</f>
        <v>TOTAL JURISDICCIONES</v>
      </c>
      <c r="B19" s="797">
        <f>Datos!AP19</f>
        <v>12</v>
      </c>
      <c r="C19" s="797">
        <f>Datos!AR19</f>
        <v>12</v>
      </c>
      <c r="D19" s="797">
        <f>SUBTOTAL(9,D8:D18)</f>
        <v>1343</v>
      </c>
      <c r="E19" s="798">
        <f>IF(ISNUMBER(D19/B19),D19/B19," - ")</f>
        <v>111.91666666666667</v>
      </c>
      <c r="F19" s="797">
        <f>SUBTOTAL(9,F8:F18)</f>
        <v>2756</v>
      </c>
      <c r="G19" s="798">
        <f>IF(ISNUMBER(F19/B19),F19/B19," - ")</f>
        <v>229.66666666666666</v>
      </c>
      <c r="H19" s="797">
        <f>SUBTOTAL(9,H8:H18)</f>
        <v>1663</v>
      </c>
      <c r="I19" s="798">
        <f>IF(ISNUMBER(H19/B19),H19/B19," - ")</f>
        <v>138.58333333333334</v>
      </c>
    </row>
    <row r="22" spans="1:9">
      <c r="A22" s="394" t="str">
        <f>Criterios!A4</f>
        <v>Fecha Informe: 07 mar. 2024</v>
      </c>
    </row>
    <row r="27" spans="1:9">
      <c r="A27" s="417"/>
    </row>
  </sheetData>
  <sheetProtection algorithmName="SHA-512" hashValue="wHoklW00f2HycueLam10s3Yo9Q9VRif40lAkdMpPp45WLprJH1C85Wgc3umxjKCPptUa9Yoj3aAinF575Zj+iQ==" saltValue="uXk4RHruH/lqJ8nhZryH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ALBACETE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541</v>
      </c>
      <c r="C9" s="437">
        <f>IF(ISNUMBER(Datos!Q9),Datos!Q9," - ")</f>
        <v>426</v>
      </c>
      <c r="D9" s="411">
        <f>IF(ISNUMBER(Datos!R9),Datos!R9," - ")</f>
        <v>9253</v>
      </c>
    </row>
    <row r="10" spans="1:4">
      <c r="A10" s="405" t="str">
        <f>Datos!A10</f>
        <v>Jdos. Violencia contra la mujer</v>
      </c>
      <c r="B10" s="436">
        <f>IF(ISNUMBER(Datos!P10),Datos!P10," - ")</f>
        <v>8</v>
      </c>
      <c r="C10" s="437">
        <f>IF(ISNUMBER(Datos!Q10),Datos!Q10," - ")</f>
        <v>13</v>
      </c>
      <c r="D10" s="411">
        <f>IF(ISNUMBER(Datos!R10),Datos!R10," - ")</f>
        <v>53</v>
      </c>
    </row>
    <row r="11" spans="1:4">
      <c r="A11" s="405" t="str">
        <f>Datos!A11</f>
        <v xml:space="preserve">Jdos. Familia                                   </v>
      </c>
      <c r="B11" s="436">
        <f>IF(ISNUMBER(Datos!P11),Datos!P11," - ")</f>
        <v>72</v>
      </c>
      <c r="C11" s="437">
        <f>IF(ISNUMBER(Datos!Q11),Datos!Q11," - ")</f>
        <v>40</v>
      </c>
      <c r="D11" s="411">
        <f>IF(ISNUMBER(Datos!R11),Datos!R11," - ")</f>
        <v>580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621</v>
      </c>
      <c r="C13" s="856">
        <f>SUBTOTAL(9,C9:C12)</f>
        <v>479</v>
      </c>
      <c r="D13" s="854">
        <f>SUBTOTAL(9,D9:D12)</f>
        <v>9886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228</v>
      </c>
      <c r="C15" s="437">
        <f>IF(ISNUMBER(Datos!Q15),Datos!Q15," - ")</f>
        <v>191</v>
      </c>
      <c r="D15" s="411">
        <f>IF(ISNUMBER(Datos!R15),Datos!R15," - ")</f>
        <v>632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v>
      </c>
      <c r="C17" s="437">
        <f>IF(ISNUMBER(Datos!Q17),Datos!Q17," - ")</f>
        <v>0</v>
      </c>
      <c r="D17" s="411">
        <f>IF(ISNUMBER(Datos!R17),Datos!R17," - ")</f>
        <v>6</v>
      </c>
    </row>
    <row r="18" spans="1:4" ht="14.25" thickTop="1" thickBot="1">
      <c r="A18" s="851" t="str">
        <f>Datos!A18</f>
        <v>TOTAL</v>
      </c>
      <c r="B18" s="852">
        <f>SUBTOTAL(9,B15:B17)</f>
        <v>231</v>
      </c>
      <c r="C18" s="856">
        <f>SUBTOTAL(9,C15:C17)</f>
        <v>191</v>
      </c>
      <c r="D18" s="854">
        <f>SUBTOTAL(9,D15:D17)</f>
        <v>638</v>
      </c>
    </row>
    <row r="19" spans="1:4" ht="16.5" customHeight="1" thickTop="1" thickBot="1">
      <c r="A19" s="796" t="str">
        <f>Datos!A19</f>
        <v>TOTAL JURISDICCIONES</v>
      </c>
      <c r="B19" s="801">
        <f>SUBTOTAL(9,B8:B18)</f>
        <v>852</v>
      </c>
      <c r="C19" s="802">
        <f>SUBTOTAL(9,C8:C18)</f>
        <v>670</v>
      </c>
      <c r="D19" s="803">
        <f>SUBTOTAL(9,D8:D18)</f>
        <v>10524</v>
      </c>
    </row>
    <row r="20" spans="1:4" ht="7.5" customHeight="1"/>
    <row r="21" spans="1:4" ht="6" customHeight="1"/>
    <row r="22" spans="1:4">
      <c r="A22" s="394" t="str">
        <f>Criterios!A4</f>
        <v>Fecha Informe: 07 mar. 2024</v>
      </c>
    </row>
    <row r="27" spans="1:4">
      <c r="A27" s="417"/>
    </row>
  </sheetData>
  <sheetProtection algorithmName="SHA-512" hashValue="t0jbEAKokqrJEHQy9g3v4Hh8I1DBJDY+nYet48lIsLdENA8yLguCmKKXr5Q2uoAp9I1no3m3RqRjMidf+1s2NA==" saltValue="9XKLxW7V/5Fij/+DhWfM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ALBACETE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0.64584572674995044</v>
      </c>
      <c r="C9" s="459">
        <f>IF(ISNUMBER(
   IF(J_V="SI",(Datos!J9-Datos!T9)/Datos!T9,(Datos!J9+Datos!Z9-(Datos!T9+Datos!AH9))/(Datos!T9+Datos!AH9))
     ),IF(J_V="SI",(Datos!J9-Datos!T9)/Datos!T9,(Datos!J9+Datos!Z9-(Datos!T9+Datos!AH9))/(Datos!T9+Datos!AH9))," - ")</f>
        <v>-3.5596330275229356E-2</v>
      </c>
      <c r="D9" s="459">
        <f>IF(ISNUMBER(
   IF(J_V="SI",(Datos!K9-Datos!U9)/Datos!U9,(Datos!K9+Datos!AA9-(Datos!U9+Datos!AI9))/(Datos!U9+Datos!AI9))
     ),IF(J_V="SI",(Datos!K9-Datos!U9)/Datos!U9,(Datos!K9+Datos!AA9-(Datos!U9+Datos!AI9))/(Datos!U9+Datos!AI9))," - ")</f>
        <v>7.2274881516587675E-2</v>
      </c>
      <c r="E9" s="459">
        <f>IF(ISNUMBER(
   IF(J_V="SI",(Datos!L9-Datos!V9)/Datos!V9,(Datos!L9+Datos!AB9-(Datos!V9+Datos!AJ9))/(Datos!V9+Datos!AJ9))
     ),IF(J_V="SI",(Datos!L9-Datos!V9)/Datos!V9,(Datos!L9+Datos!AB9-(Datos!V9+Datos!AJ9))/(Datos!V9+Datos!AJ9))," - ")</f>
        <v>0.58460351147983791</v>
      </c>
      <c r="F9" s="459">
        <f>IF(ISNUMBER((Datos!M9-Datos!W9)/Datos!W9),(Datos!M9-Datos!W9)/Datos!W9," - ")</f>
        <v>-0.17055214723926379</v>
      </c>
      <c r="G9" s="460">
        <f>IF(ISNUMBER((Datos!N9-Datos!X9)/Datos!X9),(Datos!N9-Datos!X9)/Datos!X9," - ")</f>
        <v>0.16767922235722965</v>
      </c>
      <c r="H9" s="458">
        <f>IF(ISNUMBER(((NºAsuntos!G9/NºAsuntos!E9)-Datos!BD9)/Datos!BD9),((NºAsuntos!G9/NºAsuntos!E9)-Datos!BD9)/Datos!BD9," - ")</f>
        <v>0.11185275956343294</v>
      </c>
      <c r="I9" s="459">
        <f>IF(ISNUMBER(((NºAsuntos!I9/NºAsuntos!G9)-Datos!BE9)/Datos!BE9),((NºAsuntos!I9/NºAsuntos!G9)-Datos!BE9)/Datos!BE9," - ")</f>
        <v>0.47779598197677708</v>
      </c>
      <c r="J9" s="464">
        <f>IF(ISNUMBER((('Resol  Asuntos'!D9/NºAsuntos!G9)-Datos!BF9)/Datos!BF9),(('Resol  Asuntos'!D9/NºAsuntos!G9)-Datos!BF9)/Datos!BF9," - ")</f>
        <v>-0.2339789075139464</v>
      </c>
      <c r="K9" s="465">
        <f>IF(ISNUMBER((((NºAsuntos!C9+NºAsuntos!E9)/NºAsuntos!G9)-Datos!BG9)/Datos!BG9),(((NºAsuntos!C9+NºAsuntos!E9)/NºAsuntos!G9)-Datos!BG9)/Datos!BG9," - ")</f>
        <v>0.31197432731534946</v>
      </c>
    </row>
    <row r="10" spans="1:11">
      <c r="A10" s="405" t="str">
        <f>Datos!A10</f>
        <v>Jdos. Violencia contra la mujer</v>
      </c>
      <c r="B10" s="458">
        <f>IF(ISNUMBER((Datos!I10-Datos!S10)/Datos!S10),(Datos!I10-Datos!S10)/Datos!S10," - ")</f>
        <v>-4.4444444444444446E-2</v>
      </c>
      <c r="C10" s="459">
        <f>IF(ISNUMBER((Datos!J10-Datos!T10)/Datos!T10),(Datos!J10-Datos!T10)/Datos!T10," - ")</f>
        <v>0.27586206896551724</v>
      </c>
      <c r="D10" s="459">
        <f>IF(ISNUMBER((Datos!K10-Datos!U10)/Datos!U10),(Datos!K10-Datos!U10)/Datos!U10," - ")</f>
        <v>0.29032258064516131</v>
      </c>
      <c r="E10" s="459">
        <f>IF(ISNUMBER((Datos!L10-Datos!V10)/Datos!V10),(Datos!L10-Datos!V10)/Datos!V10," - ")</f>
        <v>-5.6818181818181816E-2</v>
      </c>
      <c r="F10" s="459">
        <f>IF(ISNUMBER((Datos!M10-Datos!W10)/Datos!W10),(Datos!M10-Datos!W10)/Datos!W10," - ")</f>
        <v>0.8</v>
      </c>
      <c r="G10" s="460">
        <f>IF(ISNUMBER((Datos!N10-Datos!X10)/Datos!X10),(Datos!N10-Datos!X10)/Datos!X10," - ")</f>
        <v>-0.15789473684210525</v>
      </c>
      <c r="H10" s="458">
        <f>IF(ISNUMBER(((NºAsuntos!G10/NºAsuntos!E10)-Datos!BD10)/Datos!BD10),((NºAsuntos!G10/NºAsuntos!E10)-Datos!BD10)/Datos!BD10," - ")</f>
        <v>1.1333914559721147E-2</v>
      </c>
      <c r="I10" s="459">
        <f>IF(ISNUMBER(((NºAsuntos!I10/NºAsuntos!G10)-Datos!BE10)/Datos!BE10),((NºAsuntos!I10/NºAsuntos!G10)-Datos!BE10)/Datos!BE10," - ")</f>
        <v>-0.26903409090909086</v>
      </c>
      <c r="J10" s="464">
        <f>IF(ISNUMBER((('Resol  Asuntos'!D10/NºAsuntos!G10)-Datos!BF10)/Datos!BF10),(('Resol  Asuntos'!D10/NºAsuntos!G10)-Datos!BF10)/Datos!BF10," - ")</f>
        <v>0.39500000000000007</v>
      </c>
      <c r="K10" s="465">
        <f>IF(ISNUMBER((((NºAsuntos!C10+NºAsuntos!E10)/NºAsuntos!G10)-Datos!BG10)/Datos!BG10),(((NºAsuntos!C10+NºAsuntos!E10)/NºAsuntos!G10)-Datos!BG10)/Datos!BG10," - ")</f>
        <v>-0.19894957983193276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0.81612090680100757</v>
      </c>
      <c r="C11" s="459">
        <f>IF(ISNUMBER(
   IF(J_V="SI",(Datos!J11-Datos!T11)/Datos!T11,(Datos!J11+Datos!Z11-(Datos!T11+Datos!AH11))/(Datos!T11+Datos!AH11))
     ),IF(J_V="SI",(Datos!J11-Datos!T11)/Datos!T11,(Datos!J11+Datos!Z11-(Datos!T11+Datos!AH11))/(Datos!T11+Datos!AH11))," - ")</f>
        <v>-0.1875</v>
      </c>
      <c r="D11" s="459">
        <f>IF(ISNUMBER(
   IF(J_V="SI",(Datos!K11-Datos!U11)/Datos!U11,(Datos!K11+Datos!AA11-(Datos!U11+Datos!AI11))/(Datos!U11+Datos!AI11))
     ),IF(J_V="SI",(Datos!K11-Datos!U11)/Datos!U11,(Datos!K11+Datos!AA11-(Datos!U11+Datos!AI11))/(Datos!U11+Datos!AI11))," - ")</f>
        <v>0.18716577540106952</v>
      </c>
      <c r="E11" s="459">
        <f>IF(ISNUMBER(
   IF(J_V="SI",(Datos!L11-Datos!V11)/Datos!V11,(Datos!L11+Datos!AB11-(Datos!V11+Datos!AJ11))/(Datos!V11+Datos!AJ11))
     ),IF(J_V="SI",(Datos!L11-Datos!V11)/Datos!V11,(Datos!L11+Datos!AB11-(Datos!V11+Datos!AJ11))/(Datos!V11+Datos!AJ11))," - ")</f>
        <v>0.21729957805907174</v>
      </c>
      <c r="F11" s="459">
        <f>IF(ISNUMBER((Datos!M11-Datos!W11)/Datos!W11),(Datos!M11-Datos!W11)/Datos!W11," - ")</f>
        <v>7.2222222222222215E-2</v>
      </c>
      <c r="G11" s="460">
        <f>IF(ISNUMBER((Datos!N11-Datos!X11)/Datos!X11),(Datos!N11-Datos!X11)/Datos!X11," - ")</f>
        <v>0.25465838509316768</v>
      </c>
      <c r="H11" s="458">
        <f>IF(ISNUMBER(((NºAsuntos!G11/NºAsuntos!E11)-Datos!BD11)/Datos!BD11),((NºAsuntos!G11/NºAsuntos!E11)-Datos!BD11)/Datos!BD11," - ")</f>
        <v>0.46112710818593156</v>
      </c>
      <c r="I11" s="459">
        <f>IF(ISNUMBER(((NºAsuntos!I11/NºAsuntos!G11)-Datos!BE11)/Datos!BE11),((NºAsuntos!I11/NºAsuntos!G11)-Datos!BE11)/Datos!BE11," - ")</f>
        <v>2.5382977914623378E-2</v>
      </c>
      <c r="J11" s="464">
        <f>IF(ISNUMBER((('Resol  Asuntos'!D11/NºAsuntos!G11)-Datos!BF11)/Datos!BF11),(('Resol  Asuntos'!D11/NºAsuntos!G11)-Datos!BF11)/Datos!BF11," - ")</f>
        <v>-0.49511778859604944</v>
      </c>
      <c r="K11" s="465">
        <f>IF(ISNUMBER((((NºAsuntos!C11+NºAsuntos!E11)/NºAsuntos!G11)-Datos!BG11)/Datos!BG11),(((NºAsuntos!C11+NºAsuntos!E11)/NºAsuntos!G11)-Datos!BG11)/Datos!BG11," - ")</f>
        <v>8.0490326391965752E-3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0.64683544303797469</v>
      </c>
      <c r="C13" s="858">
        <f>IF(ISNUMBER(
   IF(J_V="SI",(Datos!J13-Datos!T13)/Datos!T13,(Datos!J13+Datos!Z13-(Datos!T13+Datos!AH13))/(Datos!T13+Datos!AH13))
     ),IF(J_V="SI",(Datos!J13-Datos!T13)/Datos!T13,(Datos!J13+Datos!Z13-(Datos!T13+Datos!AH13))/(Datos!T13+Datos!AH13))," - ")</f>
        <v>-6.1579257513258691E-2</v>
      </c>
      <c r="D13" s="858">
        <f>IF(ISNUMBER(
   IF(J_V="SI",(Datos!K13-Datos!U13)/Datos!U13,(Datos!K13+Datos!AA13-(Datos!U13+Datos!AI13))/(Datos!U13+Datos!AI13))
     ),IF(J_V="SI",(Datos!K13-Datos!U13)/Datos!U13,(Datos!K13+Datos!AA13-(Datos!U13+Datos!AI13))/(Datos!U13+Datos!AI13))," - ")</f>
        <v>9.5070422535211266E-2</v>
      </c>
      <c r="E13" s="858">
        <f>IF(ISNUMBER(
   IF(J_V="SI",(Datos!L13-Datos!V13)/Datos!V13,(Datos!L13+Datos!AB13-(Datos!V13+Datos!AJ13))/(Datos!V13+Datos!AJ13))
     ),IF(J_V="SI",(Datos!L13-Datos!V13)/Datos!V13,(Datos!L13+Datos!AB13-(Datos!V13+Datos!AJ13))/(Datos!V13+Datos!AJ13))," - ")</f>
        <v>0.54447345517841605</v>
      </c>
      <c r="F13" s="859">
        <f>IF(ISNUMBER((Datos!M13-Datos!W13)/Datos!W13),(Datos!M13-Datos!W13)/Datos!W13," - ")</f>
        <v>-0.11741293532338308</v>
      </c>
      <c r="G13" s="860">
        <f>IF(ISNUMBER((Datos!N13-Datos!X13)/Datos!X13),(Datos!N13-Datos!X13)/Datos!X13," - ")</f>
        <v>0.18642611683848798</v>
      </c>
      <c r="H13" s="860">
        <f>IF(ISNUMBER(((NºAsuntos!G13/NºAsuntos!E13)-Datos!BD13)/Datos!BD13),((NºAsuntos!G13/NºAsuntos!E13)-Datos!BD13)/Datos!BD13," - ")</f>
        <v>0.16692904680832252</v>
      </c>
      <c r="I13" s="860">
        <f>IF(ISNUMBER(((NºAsuntos!I13/NºAsuntos!G13)-Datos!BE13)/Datos!BE13),((NºAsuntos!I13/NºAsuntos!G13)-Datos!BE13)/Datos!BE13," - ")</f>
        <v>0.41038733527546678</v>
      </c>
      <c r="J13" s="860">
        <f>IF(ISNUMBER((('Resol  Asuntos'!D13/NºAsuntos!G13)-Datos!BF13)/Datos!BF13),(('Resol  Asuntos'!D13/NºAsuntos!G13)-Datos!BF13)/Datos!BF13," - ")</f>
        <v>-0.29870686655252576</v>
      </c>
      <c r="K13" s="860">
        <f>IF(ISNUMBER((((NºAsuntos!C13+NºAsuntos!E13)/NºAsuntos!G13)-Datos!BG13)/Datos!BG13),(((NºAsuntos!C13+NºAsuntos!E13)/NºAsuntos!G13)-Datos!BG13)/Datos!BG13," - ")</f>
        <v>0.2578270814206714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0.37181996086105673</v>
      </c>
      <c r="C15" s="459">
        <f>IF(ISNUMBER(
   IF(D_I="SI",(Datos!J15-Datos!T15)/Datos!T15,(Datos!J15+Datos!AD15-(Datos!T15+Datos!AL15))/(Datos!T15+Datos!AL15))
     ),IF(D_I="SI",(Datos!J15-Datos!T15)/Datos!T15,(Datos!J15+Datos!AD15-(Datos!T15+Datos!AL15))/(Datos!T15+Datos!AL15))," - ")</f>
        <v>5.4629629629629632E-2</v>
      </c>
      <c r="D15" s="459">
        <f>IF(ISNUMBER(
   IF(D_I="SI",(Datos!K15-Datos!U15)/Datos!U15,(Datos!K15+Datos!AE15-(Datos!U15+Datos!AM15))/(Datos!U15+Datos!AM15))
     ),IF(D_I="SI",(Datos!K15-Datos!U15)/Datos!U15,(Datos!K15+Datos!AE15-(Datos!U15+Datos!AM15))/(Datos!U15+Datos!AM15))," - ")</f>
        <v>0.29765013054830286</v>
      </c>
      <c r="E15" s="459">
        <f>IF(ISNUMBER(
   IF(D_I="SI",(Datos!L15-Datos!V15)/Datos!V15,(Datos!L15+Datos!AF15-(Datos!V15+Datos!AN15))/(Datos!V15+Datos!AN15))
     ),IF(D_I="SI",(Datos!L15-Datos!V15)/Datos!V15,(Datos!L15+Datos!AF15-(Datos!V15+Datos!AN15))/(Datos!V15+Datos!AN15))," - ")</f>
        <v>0.21019300361881785</v>
      </c>
      <c r="F15" s="459">
        <f>IF(ISNUMBER((Datos!M15-Datos!W15)/Datos!W15),(Datos!M15-Datos!W15)/Datos!W15," - ")</f>
        <v>0.29376854599406527</v>
      </c>
      <c r="G15" s="460">
        <f>IF(ISNUMBER((Datos!N15-Datos!X15)/Datos!X15),(Datos!N15-Datos!X15)/Datos!X15," - ")</f>
        <v>0.49516908212560384</v>
      </c>
      <c r="H15" s="458">
        <f>IF(ISNUMBER(((NºAsuntos!G15/NºAsuntos!E15)-Datos!BD15)/Datos!BD15),((NºAsuntos!G15/NºAsuntos!E15)-Datos!BD15)/Datos!BD15," - ")</f>
        <v>0.23043208164369361</v>
      </c>
      <c r="I15" s="459">
        <f>IF(ISNUMBER(((NºAsuntos!I15/NºAsuntos!G15)-Datos!BE15)/Datos!BE15),((NºAsuntos!I15/NºAsuntos!G15)-Datos!BE15)/Datos!BE15," - ")</f>
        <v>-6.7396538458737928E-2</v>
      </c>
      <c r="J15" s="464">
        <f>IF(ISNUMBER((('Resol  Asuntos'!D15/NºAsuntos!G15)-Datos!BF15)/Datos!BF15),(('Resol  Asuntos'!D15/NºAsuntos!G15)-Datos!BF15)/Datos!BF15," - ")</f>
        <v>-2.9912412158410828E-3</v>
      </c>
      <c r="K15" s="465">
        <f>IF(ISNUMBER((((NºAsuntos!C15+NºAsuntos!E15)/NºAsuntos!G15)-Datos!BG15)/Datos!BG15),(((NºAsuntos!C15+NºAsuntos!E15)/NºAsuntos!G15)-Datos!BG15)/Datos!BG15," - ")</f>
        <v>-4.3872111351615256E-2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0.24731182795698925</v>
      </c>
      <c r="C17" s="459">
        <f>IF(ISNUMBER(
   IF(D_I="SI",(Datos!J17-Datos!T17)/Datos!T17,(Datos!J17+Datos!AD17-(Datos!T17+Datos!AL17))/(Datos!T17+Datos!AL17))
     ),IF(D_I="SI",(Datos!J17-Datos!T17)/Datos!T17,(Datos!J17+Datos!AD17-(Datos!T17+Datos!AL17))/(Datos!T17+Datos!AL17))," - ")</f>
        <v>0.22</v>
      </c>
      <c r="D17" s="459">
        <f>IF(ISNUMBER(
   IF(D_I="SI",(Datos!K17-Datos!U17)/Datos!U17,(Datos!K17+Datos!AE17-(Datos!U17+Datos!AM17))/(Datos!U17+Datos!AM17))
     ),IF(D_I="SI",(Datos!K17-Datos!U17)/Datos!U17,(Datos!K17+Datos!AE17-(Datos!U17+Datos!AM17))/(Datos!U17+Datos!AM17))," - ")</f>
        <v>0.24637681159420291</v>
      </c>
      <c r="E17" s="459">
        <f>IF(ISNUMBER(
   IF(D_I="SI",(Datos!L17-Datos!V17)/Datos!V17,(Datos!L17+Datos!AF17-(Datos!V17+Datos!AN17))/(Datos!V17+Datos!AN17))
     ),IF(D_I="SI",(Datos!L17-Datos!V17)/Datos!V17,(Datos!L17+Datos!AF17-(Datos!V17+Datos!AN17))/(Datos!V17+Datos!AN17))," - ")</f>
        <v>0.21897810218978103</v>
      </c>
      <c r="F17" s="459">
        <f>IF(ISNUMBER((Datos!M17-Datos!W17)/Datos!W17),(Datos!M17-Datos!W17)/Datos!W17," - ")</f>
        <v>1.2222222222222223</v>
      </c>
      <c r="G17" s="460">
        <f>IF(ISNUMBER((Datos!N17-Datos!X17)/Datos!X17),(Datos!N17-Datos!X17)/Datos!X17," - ")</f>
        <v>0.13223140495867769</v>
      </c>
      <c r="H17" s="458">
        <f>IF(ISNUMBER(((NºAsuntos!G17/NºAsuntos!E17)-Datos!BD17)/Datos!BD17),((NºAsuntos!G17/NºAsuntos!E17)-Datos!BD17)/Datos!BD17," - ")</f>
        <v>2.1620337372297491E-2</v>
      </c>
      <c r="I17" s="459">
        <f>IF(ISNUMBER(((NºAsuntos!I17/NºAsuntos!G17)-Datos!BE17)/Datos!BE17),((NºAsuntos!I17/NºAsuntos!G17)-Datos!BE17)/Datos!BE17," - ")</f>
        <v>-2.1982685452385013E-2</v>
      </c>
      <c r="J17" s="464">
        <f>IF(ISNUMBER((('Resol  Asuntos'!D17/NºAsuntos!G17)-Datos!BF17)/Datos!BF17),(('Resol  Asuntos'!D17/NºAsuntos!G17)-Datos!BF17)/Datos!BF17," - ")</f>
        <v>0.78294573643410859</v>
      </c>
      <c r="K17" s="465">
        <f>IF(ISNUMBER((((NºAsuntos!C17+NºAsuntos!E17)/NºAsuntos!G17)-Datos!BG17)/Datos!BG17),(((NºAsuntos!C17+NºAsuntos!E17)/NºAsuntos!G17)-Datos!BG17)/Datos!BG17," - ")</f>
        <v>-8.3992814487546651E-3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0.36143497757847531</v>
      </c>
      <c r="C18" s="858">
        <f>IF(ISNUMBER(
   IF(Criterios!B14="SI",(Datos!J18-Datos!T18)/Datos!T18,(Datos!J18+Datos!AD18-(Datos!T18+Datos!AL18))/(Datos!T18+Datos!AL18))
     ),IF(Criterios!B14="SI",(Datos!J18-Datos!T18)/Datos!T18,(Datos!J18+Datos!AD18-(Datos!T18+Datos!AL18))/(Datos!T18+Datos!AL18))," - ")</f>
        <v>6.864406779661017E-2</v>
      </c>
      <c r="D18" s="858">
        <f>IF(ISNUMBER(
   IF(Criterios!B14="SI",(Datos!K18-Datos!U18)/Datos!U18,(Datos!K18+Datos!AE18-(Datos!U18+Datos!AM18))/(Datos!U18+Datos!AM18))
     ),IF(Criterios!B14="SI",(Datos!K18-Datos!U18)/Datos!U18,(Datos!K18+Datos!AE18-(Datos!U18+Datos!AM18))/(Datos!U18+Datos!AM18))," - ")</f>
        <v>0.29264844486333647</v>
      </c>
      <c r="E18" s="858">
        <f>IF(ISNUMBER(
   IF(Criterios!B14="SI",(Datos!L18-Datos!V18)/Datos!V18,(Datos!L18+Datos!AF18-(Datos!V18+Datos!AN18))/(Datos!V18+Datos!AN18))
     ),IF(Criterios!B14="SI",(Datos!L18-Datos!V18)/Datos!V18,(Datos!L18+Datos!AF18-(Datos!V18+Datos!AN18))/(Datos!V18+Datos!AN18))," - ")</f>
        <v>0.21086350974930362</v>
      </c>
      <c r="F18" s="859">
        <f>IF(ISNUMBER((Datos!M18-Datos!W18)/Datos!W18),(Datos!M18-Datos!W18)/Datos!W18," - ")</f>
        <v>0.31791907514450868</v>
      </c>
      <c r="G18" s="860">
        <f>IF(ISNUMBER((Datos!N18-Datos!X18)/Datos!X18),(Datos!N18-Datos!X18)/Datos!X18," - ")</f>
        <v>0.44889357218124343</v>
      </c>
      <c r="H18" s="860">
        <f>IF(ISNUMBER(((NºAsuntos!G18/NºAsuntos!E18)-Datos!BD18)/Datos!BD18),((NºAsuntos!G18/NºAsuntos!E18)-Datos!BD18)/Datos!BD18," - ")</f>
        <v>0.2096155154153346</v>
      </c>
      <c r="I18" s="860">
        <f>IF(ISNUMBER(((NºAsuntos!I18/NºAsuntos!G18)-Datos!BE18)/Datos!BE18),((NºAsuntos!I18/NºAsuntos!G18)-Datos!BE18)/Datos!BE18," - ")</f>
        <v>-6.326927900546031E-2</v>
      </c>
      <c r="J18" s="860">
        <f>IF(ISNUMBER((('Resol  Asuntos'!D18/NºAsuntos!G18)-Datos!BF18)/Datos!BF18),(('Resol  Asuntos'!D18/NºAsuntos!G18)-Datos!BF18)/Datos!BF18," - ")</f>
        <v>1.9549499619630754E-2</v>
      </c>
      <c r="K18" s="860">
        <f>IF(ISNUMBER((((NºAsuntos!C18+NºAsuntos!E18)/NºAsuntos!G18)-Datos!BG18)/Datos!BG18),(((NºAsuntos!C18+NºAsuntos!E18)/NºAsuntos!G18)-Datos!BG18)/Datos!BG18," - ")</f>
        <v>-4.0485046311813294E-2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0.53926760563380283</v>
      </c>
      <c r="C19" s="805">
        <f>IF(ISNUMBER(
   IF(J_V="SI",(Datos!J19-Datos!T19)/Datos!T19,(Datos!J19+Datos!Z19-(Datos!T19+Datos!AH19))/(Datos!T19+Datos!AH19))
     ),IF(J_V="SI",(Datos!J19-Datos!T19)/Datos!T19,(Datos!J19+Datos!Z19-(Datos!T19+Datos!AH19))/(Datos!T19+Datos!AH19))," - ")</f>
        <v>-8.1682307959680227E-3</v>
      </c>
      <c r="D19" s="805">
        <f>IF(ISNUMBER(
   IF(J_V="SI",(Datos!K19-Datos!U19)/Datos!U19,(Datos!K19+Datos!AA19-(Datos!U19+Datos!AI19))/(Datos!U19+Datos!AI19))
     ),IF(J_V="SI",(Datos!K19-Datos!U19)/Datos!U19,(Datos!K19+Datos!AA19-(Datos!U19+Datos!AI19))/(Datos!U19+Datos!AI19))," - ")</f>
        <v>0.17499046892870759</v>
      </c>
      <c r="E19" s="805">
        <f>IF(ISNUMBER(
   IF(J_V="SI",(Datos!L19-Datos!V19)/Datos!V19,(Datos!L19+Datos!AB19-(Datos!V19+Datos!AJ19))/(Datos!V19+Datos!AJ19))
     ),IF(J_V="SI",(Datos!L19-Datos!V19)/Datos!V19,(Datos!L19+Datos!AB19-(Datos!V19+Datos!AJ19))/(Datos!V19+Datos!AJ19))," - ")</f>
        <v>0.41617568291376539</v>
      </c>
      <c r="F19" s="806">
        <f>IF(ISNUMBER((Datos!M19-Datos!W19)/Datos!W19),(Datos!M19-Datos!W19)/Datos!W19," - ")</f>
        <v>-5.9215396002960767E-3</v>
      </c>
      <c r="G19" s="807">
        <f>IF(ISNUMBER((Datos!N19-Datos!X19)/Datos!X19),(Datos!N19-Datos!X19)/Datos!X19," - ")</f>
        <v>0.30430667297681024</v>
      </c>
      <c r="H19" s="808">
        <f>IF(ISNUMBER((Tasas!B19-Datos!BD19)/Datos!BD19),(Tasas!B19-Datos!BD19)/Datos!BD19," - ")</f>
        <v>0.18466710324439872</v>
      </c>
      <c r="I19" s="809">
        <f>IF(ISNUMBER((Tasas!C19-Datos!BE19)/Datos!BE19),(Tasas!C19-Datos!BE19)/Datos!BE19," - ")</f>
        <v>0.20526567692498598</v>
      </c>
      <c r="J19" s="810">
        <f>IF(ISNUMBER((Tasas!D19-Datos!BF19)/Datos!BF19),(Tasas!D19-Datos!BF19)/Datos!BF19," - ")</f>
        <v>-0.23851565968783087</v>
      </c>
      <c r="K19" s="810">
        <f>IF(ISNUMBER((Tasas!E19-Datos!BG19)/Datos!BG19),(Tasas!E19-Datos!BG19)/Datos!BG19," - ")</f>
        <v>0.12677134201668611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0SWrvT8Hmu1h1ml+4tQ2CGVczEqKjk0bI/deGJ399++Q+8xeLWqnAZGyPZh+wJNT0pjWo9iuaHhUGZvJJdBmw==" saltValue="A88E2nC6qscyTeMMjyw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ALBACETE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1.0331050228310503</v>
      </c>
      <c r="C9" s="446">
        <f>IF(ISNUMBER(NºAsuntos!I9/NºAsuntos!G9),NºAsuntos!I9/NºAsuntos!G9," - ")</f>
        <v>3.0250460405156536</v>
      </c>
      <c r="D9" s="447">
        <f>IF(ISNUMBER('Resol  Asuntos'!D9/NºAsuntos!G9),'Resol  Asuntos'!D9/NºAsuntos!G9," - ")</f>
        <v>0.24898710865561693</v>
      </c>
      <c r="E9" s="448">
        <f>IF(ISNUMBER((NºAsuntos!C9+NºAsuntos!E9)/NºAsuntos!G9),(NºAsuntos!C9+NºAsuntos!E9)/NºAsuntos!G9," - ")</f>
        <v>4.0250460405156536</v>
      </c>
      <c r="G9" s="466"/>
    </row>
    <row r="10" spans="1:7">
      <c r="A10" s="405" t="str">
        <f>Datos!A10</f>
        <v>Jdos. Violencia contra la mujer</v>
      </c>
      <c r="B10" s="445">
        <f>IF(ISNUMBER(NºAsuntos!G10/NºAsuntos!E10),NºAsuntos!G10/NºAsuntos!E10," - ")</f>
        <v>1.0810810810810811</v>
      </c>
      <c r="C10" s="446">
        <f>IF(ISNUMBER(NºAsuntos!I10/NºAsuntos!G10),NºAsuntos!I10/NºAsuntos!G10," - ")</f>
        <v>2.0750000000000002</v>
      </c>
      <c r="D10" s="447">
        <f>IF(ISNUMBER('Resol  Asuntos'!D10/NºAsuntos!G10),'Resol  Asuntos'!D10/NºAsuntos!G10," - ")</f>
        <v>0.45</v>
      </c>
      <c r="E10" s="448">
        <f>IF(ISNUMBER((NºAsuntos!C10+NºAsuntos!E10)/NºAsuntos!G10),(NºAsuntos!C10+NºAsuntos!E10)/NºAsuntos!G10," - ")</f>
        <v>3.0750000000000002</v>
      </c>
      <c r="G10" s="466"/>
    </row>
    <row r="11" spans="1:7">
      <c r="A11" s="405" t="str">
        <f>Datos!A11</f>
        <v xml:space="preserve">Jdos. Familia                                   </v>
      </c>
      <c r="B11" s="445">
        <f>IF(ISNUMBER(NºAsuntos!G11/NºAsuntos!E11),NºAsuntos!G11/NºAsuntos!E11," - ")</f>
        <v>1.2807692307692307</v>
      </c>
      <c r="C11" s="446">
        <f>IF(ISNUMBER(NºAsuntos!I11/NºAsuntos!G11),NºAsuntos!I11/NºAsuntos!G11," - ")</f>
        <v>0.86636636636636633</v>
      </c>
      <c r="D11" s="447">
        <f>IF(ISNUMBER('Resol  Asuntos'!D11/NºAsuntos!G11),'Resol  Asuntos'!D11/NºAsuntos!G11," - ")</f>
        <v>0.28978978978978981</v>
      </c>
      <c r="E11" s="448">
        <f>IF(ISNUMBER((NºAsuntos!C11+NºAsuntos!E11)/NºAsuntos!G11),(NºAsuntos!C11+NºAsuntos!E11)/NºAsuntos!G11," - ")</f>
        <v>1.8633633633633633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1.0740973312401885</v>
      </c>
      <c r="C13" s="862">
        <f>IF(ISNUMBER(NºAsuntos!I13/NºAsuntos!G13),NºAsuntos!I13/NºAsuntos!G13," - ")</f>
        <v>2.5936860567085649</v>
      </c>
      <c r="D13" s="863">
        <f>IF(ISNUMBER('Resol  Asuntos'!D13/NºAsuntos!G13),'Resol  Asuntos'!D13/NºAsuntos!G13," - ")</f>
        <v>0.25928091201403097</v>
      </c>
      <c r="E13" s="864">
        <f>IF(ISNUMBER((NºAsuntos!C13+NºAsuntos!E13)/NºAsuntos!G13),(NºAsuntos!C13+NºAsuntos!E13)/NºAsuntos!G13," - ")</f>
        <v>3.5931014323297283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1.0908691834942932</v>
      </c>
      <c r="C15" s="446">
        <f>IF(ISNUMBER(NºAsuntos!I15/NºAsuntos!G15),NºAsuntos!I15/NºAsuntos!G15," - ")</f>
        <v>1.6148893360160965</v>
      </c>
      <c r="D15" s="447">
        <f>IF(ISNUMBER('Resol  Asuntos'!D15/NºAsuntos!G15),'Resol  Asuntos'!D15/NºAsuntos!G15," - ")</f>
        <v>0.17545271629778672</v>
      </c>
      <c r="E15" s="448">
        <f>IF(ISNUMBER((NºAsuntos!C15+NºAsuntos!E15)/NºAsuntos!G15),(NºAsuntos!C15+NºAsuntos!E15)/NºAsuntos!G15," - ")</f>
        <v>2.6092555331991951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1.0573770491803278</v>
      </c>
      <c r="C17" s="446">
        <f>IF(ISNUMBER(NºAsuntos!I17/NºAsuntos!G17),NºAsuntos!I17/NºAsuntos!G17," - ")</f>
        <v>1.2945736434108528</v>
      </c>
      <c r="D17" s="447">
        <f>IF(ISNUMBER('Resol  Asuntos'!D17/NºAsuntos!G17),'Resol  Asuntos'!D17/NºAsuntos!G17," - ")</f>
        <v>7.7519379844961239E-2</v>
      </c>
      <c r="E17" s="448">
        <f>IF(ISNUMBER((NºAsuntos!C17+NºAsuntos!E17)/NºAsuntos!G17),(NºAsuntos!C17+NºAsuntos!E17)/NºAsuntos!G17," - ")</f>
        <v>2.2945736434108528</v>
      </c>
      <c r="G17" s="466"/>
    </row>
    <row r="18" spans="1:7" ht="14.25" thickTop="1" thickBot="1">
      <c r="A18" s="851" t="str">
        <f>Datos!A18</f>
        <v>TOTAL</v>
      </c>
      <c r="B18" s="861">
        <f>IF(ISNUMBER(NºAsuntos!G18/NºAsuntos!E18),NºAsuntos!G18/NºAsuntos!E18," - ")</f>
        <v>1.0876288659793814</v>
      </c>
      <c r="C18" s="862">
        <f>IF(ISNUMBER(NºAsuntos!I18/NºAsuntos!G18),NºAsuntos!I18/NºAsuntos!G18," - ")</f>
        <v>1.5847612103536275</v>
      </c>
      <c r="D18" s="865">
        <f>IF(ISNUMBER('Resol  Asuntos'!D18/NºAsuntos!G18),'Resol  Asuntos'!D18/NºAsuntos!G18," - ")</f>
        <v>0.16624134159679183</v>
      </c>
      <c r="E18" s="864">
        <f>IF(ISNUMBER((NºAsuntos!C18+NºAsuntos!E18)/NºAsuntos!G18),(NºAsuntos!C18+NºAsuntos!E18)/NºAsuntos!G18," - ")</f>
        <v>2.5796573095151296</v>
      </c>
      <c r="G18" s="466"/>
    </row>
    <row r="19" spans="1:7" ht="15.75" customHeight="1" thickTop="1" thickBot="1">
      <c r="A19" s="796" t="str">
        <f>Datos!A19</f>
        <v>TOTAL JURISDICCIONES</v>
      </c>
      <c r="B19" s="811">
        <f>IF(ISNUMBER(NºAsuntos!G19/NºAsuntos!E19),NºAsuntos!G19/NºAsuntos!E19," - ")</f>
        <v>1.0800770983003329</v>
      </c>
      <c r="C19" s="812">
        <f>IF(ISNUMBER(NºAsuntos!I19/NºAsuntos!G19),NºAsuntos!I19/NºAsuntos!G19," - ")</f>
        <v>2.1447112264763142</v>
      </c>
      <c r="D19" s="813">
        <f>IF(ISNUMBER('Resol  Asuntos'!D19/NºAsuntos!G19),'Resol  Asuntos'!D19/NºAsuntos!G19," - ")</f>
        <v>0.21787800129785853</v>
      </c>
      <c r="E19" s="814">
        <f>IF(ISNUMBER((NºAsuntos!C19+NºAsuntos!E19)/NºAsuntos!G19),(NºAsuntos!C19+NºAsuntos!E19)/NºAsuntos!G19," - ")</f>
        <v>3.1421155094094742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uo62PcMSU4n6MXP5/TCJZ7hU2c09XARNCeLqNTgi2HUAX9tCy2cSlxCx4sandCfgCzipg67dqOvOUiyRPn2/w==" saltValue="mx4HXcrEzUMzVNODyKyD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ALBACETE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541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426</v>
      </c>
      <c r="Y9" s="337">
        <f>SUM(W9:X9)</f>
        <v>426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9253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676</v>
      </c>
      <c r="AJ9" s="232" t="str">
        <f>IF(ISNUMBER(Datos!BW9),Datos!BW9," - ")</f>
        <v xml:space="preserve"> - </v>
      </c>
      <c r="AK9" s="231" t="str">
        <f>IF(ISNUMBER(Datos!BX9),Datos!BX9," - ")</f>
        <v xml:space="preserve"> - </v>
      </c>
      <c r="AL9" s="246">
        <f>IF(ISNUMBER(NºAsuntos!G9/NºAsuntos!E9),NºAsuntos!G9/NºAsuntos!E9," - ")</f>
        <v>1.0331050228310503</v>
      </c>
      <c r="AM9" s="263">
        <f>IF(ISNUMBER(((NºAsuntos!I9/NºAsuntos!G9)*11)/factor_trimestre),((NºAsuntos!I9/NºAsuntos!G9)*11)/factor_trimestre," - ")</f>
        <v>9.0751381215469618</v>
      </c>
      <c r="AN9" s="247">
        <f>IF(ISNUMBER('Resol  Asuntos'!D9/NºAsuntos!G9),'Resol  Asuntos'!D9/NºAsuntos!G9," - ")</f>
        <v>0.24898710865561693</v>
      </c>
      <c r="AO9" s="248">
        <f>IF(ISNUMBER((NºAsuntos!C9+NºAsuntos!E9)/NºAsuntos!G9),(NºAsuntos!C9+NºAsuntos!E9)/NºAsuntos!G9," - ")</f>
        <v>4.0250460405156536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86</v>
      </c>
      <c r="G10" s="336">
        <f>IF(ISNUMBER(Datos!I10),Datos!I10," - ")</f>
        <v>86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40</v>
      </c>
      <c r="X10" s="229">
        <f>IF(ISNUMBER(Datos!Q10),Datos!Q10," - ")</f>
        <v>13</v>
      </c>
      <c r="Y10" s="337">
        <f t="shared" ref="Y10:Y12" si="0">SUM(W10:X10)</f>
        <v>53</v>
      </c>
      <c r="Z10" s="338" t="str">
        <f>IF(ISNUMBER(Datos!CC10),Datos!CC10," - ")</f>
        <v xml:space="preserve"> - </v>
      </c>
      <c r="AA10" s="335">
        <f>IF(ISNUMBER(Datos!L10),Datos!L10,"-")</f>
        <v>83</v>
      </c>
      <c r="AB10" s="337">
        <f>IF(ISNUMBER(Datos!R10),Datos!R10," - ")</f>
        <v>53</v>
      </c>
      <c r="AC10" s="337">
        <f t="shared" ref="AC10:AC12" si="1">IF(ISNUMBER(AA10+AB10),AA10+AB10," - ")</f>
        <v>136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18</v>
      </c>
      <c r="AJ10" s="234" t="str">
        <f>IF(ISNUMBER(Datos!BW10),Datos!BW10," - ")</f>
        <v xml:space="preserve"> - </v>
      </c>
      <c r="AK10" s="235" t="str">
        <f>IF(ISNUMBER(Datos!BX10),Datos!BX10," - ")</f>
        <v xml:space="preserve"> - </v>
      </c>
      <c r="AL10" s="246">
        <f>IF(ISNUMBER(NºAsuntos!G10/NºAsuntos!E10),NºAsuntos!G10/NºAsuntos!E10," - ")</f>
        <v>1.0810810810810811</v>
      </c>
      <c r="AM10" s="263">
        <f>IF(ISNUMBER(((NºAsuntos!I10/NºAsuntos!G10)*11)/factor_trimestre),((NºAsuntos!I10/NºAsuntos!G10)*11)/factor_trimestre," - ")</f>
        <v>6.2250000000000014</v>
      </c>
      <c r="AN10" s="247">
        <f>IF(ISNUMBER('Resol  Asuntos'!D10/NºAsuntos!G10),'Resol  Asuntos'!D10/NºAsuntos!G10," - ")</f>
        <v>0.45</v>
      </c>
      <c r="AO10" s="248">
        <f>IF(ISNUMBER((NºAsuntos!C10+NºAsuntos!E10)/NºAsuntos!G10),(NºAsuntos!C10+NºAsuntos!E10)/NºAsuntos!G10," - ")</f>
        <v>3.0750000000000002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72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40</v>
      </c>
      <c r="Y11" s="337">
        <f t="shared" si="0"/>
        <v>40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580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193</v>
      </c>
      <c r="AJ11" s="234" t="str">
        <f>IF(ISNUMBER(Datos!BW11),Datos!BW11," - ")</f>
        <v xml:space="preserve"> - </v>
      </c>
      <c r="AK11" s="235" t="str">
        <f>IF(ISNUMBER(Datos!BX11),Datos!BX11," - ")</f>
        <v xml:space="preserve"> - </v>
      </c>
      <c r="AL11" s="246">
        <f>IF(ISNUMBER(NºAsuntos!G11/NºAsuntos!E11),NºAsuntos!G11/NºAsuntos!E11," - ")</f>
        <v>1.2807692307692307</v>
      </c>
      <c r="AM11" s="263">
        <f>IF(ISNUMBER(((NºAsuntos!I11/NºAsuntos!G11)*11)/factor_trimestre),((NºAsuntos!I11/NºAsuntos!G11)*11)/factor_trimestre," - ")</f>
        <v>2.5990990990990994</v>
      </c>
      <c r="AN11" s="247">
        <f>IF(ISNUMBER('Resol  Asuntos'!D11/NºAsuntos!G11),'Resol  Asuntos'!D11/NºAsuntos!G11," - ")</f>
        <v>0.28978978978978981</v>
      </c>
      <c r="AO11" s="248">
        <f>IF(ISNUMBER((NºAsuntos!C11+NºAsuntos!E11)/NºAsuntos!G11),(NºAsuntos!C11+NºAsuntos!E11)/NºAsuntos!G11," - ")</f>
        <v>1.8633633633633633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86</v>
      </c>
      <c r="G13" s="869">
        <f t="shared" si="3"/>
        <v>86</v>
      </c>
      <c r="H13" s="868">
        <f t="shared" si="3"/>
        <v>0</v>
      </c>
      <c r="I13" s="870">
        <f t="shared" si="3"/>
        <v>0</v>
      </c>
      <c r="J13" s="870">
        <f t="shared" si="3"/>
        <v>0</v>
      </c>
      <c r="K13" s="870">
        <f t="shared" si="3"/>
        <v>0</v>
      </c>
      <c r="L13" s="870">
        <f t="shared" si="3"/>
        <v>621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40</v>
      </c>
      <c r="X13" s="870">
        <f t="shared" si="4"/>
        <v>479</v>
      </c>
      <c r="Y13" s="871">
        <f t="shared" si="4"/>
        <v>519</v>
      </c>
      <c r="Z13" s="871">
        <f t="shared" si="4"/>
        <v>0</v>
      </c>
      <c r="AA13" s="871">
        <f t="shared" si="4"/>
        <v>83</v>
      </c>
      <c r="AB13" s="871">
        <f t="shared" si="4"/>
        <v>9886</v>
      </c>
      <c r="AC13" s="871">
        <f t="shared" si="4"/>
        <v>136</v>
      </c>
      <c r="AD13" s="871">
        <f t="shared" si="4"/>
        <v>0</v>
      </c>
      <c r="AE13" s="875">
        <f t="shared" si="4"/>
        <v>0</v>
      </c>
      <c r="AF13" s="868">
        <f t="shared" si="4"/>
        <v>0</v>
      </c>
      <c r="AG13" s="876">
        <f t="shared" si="4"/>
        <v>0</v>
      </c>
      <c r="AH13" s="873">
        <f t="shared" si="4"/>
        <v>0</v>
      </c>
      <c r="AI13" s="868">
        <f t="shared" si="4"/>
        <v>887</v>
      </c>
      <c r="AJ13" s="870">
        <f t="shared" si="4"/>
        <v>0</v>
      </c>
      <c r="AK13" s="873">
        <f>SUBTOTAL(9,AK9:AK12)</f>
        <v>0</v>
      </c>
      <c r="AL13" s="877">
        <f>IF(ISNUMBER(NºAsuntos!G13/NºAsuntos!E13),NºAsuntos!G13/NºAsuntos!E13," - ")</f>
        <v>1.0740973312401885</v>
      </c>
      <c r="AM13" s="877">
        <f>IF(ISNUMBER(((NºAsuntos!I13/NºAsuntos!G13)*11)/factor_trimestre),((NºAsuntos!I13/NºAsuntos!G13)*11)/factor_trimestre," - ")</f>
        <v>7.7810581701256956</v>
      </c>
      <c r="AN13" s="878">
        <f>IF(ISNUMBER('Resol  Asuntos'!D13/NºAsuntos!G13),'Resol  Asuntos'!D13/NºAsuntos!G13," - ")</f>
        <v>0.25928091201403097</v>
      </c>
      <c r="AO13" s="879">
        <f>IF(ISNUMBER((NºAsuntos!C13+NºAsuntos!E13)/NºAsuntos!G13),(NºAsuntos!C13+NºAsuntos!E13)/NºAsuntos!G13," - ")</f>
        <v>3.5931014323297283</v>
      </c>
      <c r="AP13" s="880" t="str">
        <f t="shared" si="2"/>
        <v xml:space="preserve"> - </v>
      </c>
      <c r="AQ13" s="880">
        <f>IF(ISNUMBER((H13-W13+K13)/(F13)),(H13-W13+K13)/(F13)," - ")</f>
        <v>-0.46511627906976744</v>
      </c>
      <c r="AR13" s="881">
        <f>IF(ISNUMBER((Datos!P13-Datos!Q13)/(Datos!R13-Datos!P13+Datos!Q13)),(Datos!P13-Datos!Q13)/(Datos!R13-Datos!P13+Datos!Q13)," - ")</f>
        <v>1.4573070607553366E-2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4220</v>
      </c>
      <c r="G15" s="336">
        <f>IF(ISNUMBER(IF(D_I="SI",Datos!I15,Datos!I15+Datos!AC15)),IF(D_I="SI",Datos!I15,Datos!I15+Datos!AC15)," - ")</f>
        <v>4206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228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2485</v>
      </c>
      <c r="X15" s="229">
        <f>IF(ISNUMBER(Datos!Q15),Datos!Q15," - ")</f>
        <v>191</v>
      </c>
      <c r="Y15" s="337">
        <f>SUM(W15)</f>
        <v>2485</v>
      </c>
      <c r="Z15" s="338" t="str">
        <f>IF(ISNUMBER(Datos!CC15),Datos!CC15," - ")</f>
        <v xml:space="preserve"> - </v>
      </c>
      <c r="AA15" s="335">
        <f>IF(ISNUMBER(IF(D_I="SI",Datos!L15,Datos!L15+Datos!AF15)),IF(D_I="SI",Datos!L15,Datos!L15+Datos!AF15)," - ")</f>
        <v>4013</v>
      </c>
      <c r="AB15" s="337">
        <f>IF(ISNUMBER(Datos!R15),Datos!R15," - ")</f>
        <v>632</v>
      </c>
      <c r="AC15" s="337">
        <f t="shared" ref="AC15:AC17" si="6">IF(ISNUMBER(AA15+AB15),AA15+AB15," - ")</f>
        <v>4645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436</v>
      </c>
      <c r="AJ15" s="234" t="str">
        <f>IF(ISNUMBER(Datos!BW15),Datos!BW15," - ")</f>
        <v xml:space="preserve"> - </v>
      </c>
      <c r="AK15" s="235" t="str">
        <f>IF(ISNUMBER(Datos!BX15),Datos!BX15," - ")</f>
        <v xml:space="preserve"> - </v>
      </c>
      <c r="AL15" s="246">
        <f>IF(ISNUMBER(NºAsuntos!G15/NºAsuntos!E15),NºAsuntos!G15/NºAsuntos!E15," - ")</f>
        <v>1.0908691834942932</v>
      </c>
      <c r="AM15" s="263">
        <f>IF(ISNUMBER(((NºAsuntos!I15/NºAsuntos!G15)*11)/factor_trimestre),((NºAsuntos!I15/NºAsuntos!G15)*11)/factor_trimestre," - ")</f>
        <v>4.8446680080482896</v>
      </c>
      <c r="AN15" s="247">
        <f>IF(ISNUMBER('Resol  Asuntos'!D15/NºAsuntos!G15),'Resol  Asuntos'!D15/NºAsuntos!G15," - ")</f>
        <v>0.17545271629778672</v>
      </c>
      <c r="AO15" s="248">
        <f>IF(ISNUMBER((NºAsuntos!C15+NºAsuntos!E15)/NºAsuntos!G15),(NºAsuntos!C15+NºAsuntos!E15)/NºAsuntos!G15," - ")</f>
        <v>2.6092555331991951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258</v>
      </c>
      <c r="X17" s="229">
        <f>IF(ISNUMBER(Datos!Q17),Datos!Q17," - ")</f>
        <v>0</v>
      </c>
      <c r="Y17" s="337">
        <f t="shared" si="7"/>
        <v>258</v>
      </c>
      <c r="Z17" s="338" t="str">
        <f>IF(ISNUMBER(Datos!CC17),Datos!CC17," - ")</f>
        <v xml:space="preserve"> - </v>
      </c>
      <c r="AA17" s="335">
        <f>IF(ISNUMBER(Datos!L17),Datos!L17,"-")</f>
        <v>334</v>
      </c>
      <c r="AB17" s="337">
        <f>IF(ISNUMBER(Datos!R17),Datos!R17," - ")</f>
        <v>6</v>
      </c>
      <c r="AC17" s="337">
        <f t="shared" si="6"/>
        <v>340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v>
      </c>
      <c r="AJ17" s="234" t="str">
        <f>IF(ISNUMBER(Datos!BW17),Datos!BW17," - ")</f>
        <v xml:space="preserve"> - </v>
      </c>
      <c r="AK17" s="235" t="str">
        <f>IF(ISNUMBER(Datos!BX17),Datos!BX17," - ")</f>
        <v xml:space="preserve"> - </v>
      </c>
      <c r="AL17" s="246">
        <f>IF(ISNUMBER(NºAsuntos!G17/NºAsuntos!E17),NºAsuntos!G17/NºAsuntos!E17," - ")</f>
        <v>1.0573770491803278</v>
      </c>
      <c r="AM17" s="263">
        <f>IF(ISNUMBER(((NºAsuntos!I17/NºAsuntos!G17)*11)/factor_trimestre),((NºAsuntos!I17/NºAsuntos!G17)*11)/factor_trimestre," - ")</f>
        <v>3.8837209302325584</v>
      </c>
      <c r="AN17" s="247">
        <f>IF(ISNUMBER('Resol  Asuntos'!D17/NºAsuntos!G17),'Resol  Asuntos'!D17/NºAsuntos!G17," - ")</f>
        <v>7.7519379844961239E-2</v>
      </c>
      <c r="AO17" s="248">
        <f>IF(ISNUMBER((NºAsuntos!C17+NºAsuntos!E17)/NºAsuntos!G17),(NºAsuntos!C17+NºAsuntos!E17)/NºAsuntos!G17," - ")</f>
        <v>2.2945736434108528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4220</v>
      </c>
      <c r="G18" s="869">
        <f>SUBTOTAL(9,G15:G17)</f>
        <v>4554</v>
      </c>
      <c r="H18" s="868">
        <f t="shared" ref="H18:O18" si="10">SUBTOTAL(9,H14:H17)</f>
        <v>0</v>
      </c>
      <c r="I18" s="870">
        <f t="shared" si="10"/>
        <v>0</v>
      </c>
      <c r="J18" s="870">
        <f t="shared" si="10"/>
        <v>0</v>
      </c>
      <c r="K18" s="870">
        <f t="shared" si="10"/>
        <v>0</v>
      </c>
      <c r="L18" s="870">
        <f t="shared" si="10"/>
        <v>231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2743</v>
      </c>
      <c r="X18" s="870">
        <f t="shared" si="11"/>
        <v>191</v>
      </c>
      <c r="Y18" s="871">
        <f t="shared" si="11"/>
        <v>2743</v>
      </c>
      <c r="Z18" s="871">
        <f t="shared" si="11"/>
        <v>0</v>
      </c>
      <c r="AA18" s="871">
        <f t="shared" si="11"/>
        <v>4347</v>
      </c>
      <c r="AB18" s="871">
        <f t="shared" si="11"/>
        <v>638</v>
      </c>
      <c r="AC18" s="871">
        <f t="shared" si="11"/>
        <v>4985</v>
      </c>
      <c r="AD18" s="871">
        <f t="shared" si="11"/>
        <v>0</v>
      </c>
      <c r="AE18" s="875">
        <f t="shared" si="11"/>
        <v>0</v>
      </c>
      <c r="AF18" s="868">
        <f t="shared" si="11"/>
        <v>0</v>
      </c>
      <c r="AG18" s="876">
        <f t="shared" si="11"/>
        <v>0</v>
      </c>
      <c r="AH18" s="873">
        <f t="shared" si="11"/>
        <v>0</v>
      </c>
      <c r="AI18" s="868">
        <f t="shared" si="11"/>
        <v>456</v>
      </c>
      <c r="AJ18" s="870">
        <f t="shared" si="11"/>
        <v>0</v>
      </c>
      <c r="AK18" s="873">
        <f t="shared" si="11"/>
        <v>0</v>
      </c>
      <c r="AL18" s="877">
        <f>IF(ISNUMBER(NºAsuntos!G18/NºAsuntos!E18),NºAsuntos!G18/NºAsuntos!E18," - ")</f>
        <v>1.0876288659793814</v>
      </c>
      <c r="AM18" s="877">
        <f>IF(ISNUMBER(((NºAsuntos!I18/NºAsuntos!G18)*11)/factor_trimestre),((NºAsuntos!I18/NºAsuntos!G18)*11)/factor_trimestre," - ")</f>
        <v>4.7542836310608818</v>
      </c>
      <c r="AN18" s="878">
        <f>IF(ISNUMBER('Resol  Asuntos'!D18/NºAsuntos!G18),'Resol  Asuntos'!D18/NºAsuntos!G18," - ")</f>
        <v>0.16624134159679183</v>
      </c>
      <c r="AO18" s="879">
        <f>IF(ISNUMBER((NºAsuntos!C18+NºAsuntos!E18)/NºAsuntos!G18),(NºAsuntos!C18+NºAsuntos!E18)/NºAsuntos!G18," - ")</f>
        <v>2.5796573095151296</v>
      </c>
      <c r="AP18" s="880" t="str">
        <f t="shared" si="2"/>
        <v xml:space="preserve"> - </v>
      </c>
      <c r="AQ18" s="880">
        <f>IF(ISNUMBER((H18-W18+K18)/(F18)),(H18-W18+K18)/(F18)," - ")</f>
        <v>-0.65</v>
      </c>
      <c r="AR18" s="881">
        <f>IF(ISNUMBER((Datos!P18-Datos!Q18)/(Datos!R18-Datos!P18+Datos!Q18)),(Datos!P18-Datos!Q18)/(Datos!R18-Datos!P18+Datos!Q18)," - ")</f>
        <v>6.6889632107023408E-2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4306</v>
      </c>
      <c r="G19" s="824">
        <f t="shared" si="13"/>
        <v>4640</v>
      </c>
      <c r="H19" s="823">
        <f t="shared" si="13"/>
        <v>0</v>
      </c>
      <c r="I19" s="825">
        <f t="shared" si="13"/>
        <v>0</v>
      </c>
      <c r="J19" s="825">
        <f t="shared" si="13"/>
        <v>0</v>
      </c>
      <c r="K19" s="884">
        <f t="shared" si="13"/>
        <v>0</v>
      </c>
      <c r="L19" s="825">
        <f t="shared" si="13"/>
        <v>852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2783</v>
      </c>
      <c r="X19" s="824">
        <f t="shared" si="14"/>
        <v>670</v>
      </c>
      <c r="Y19" s="831">
        <f t="shared" si="14"/>
        <v>3262</v>
      </c>
      <c r="Z19" s="831">
        <f t="shared" si="14"/>
        <v>0</v>
      </c>
      <c r="AA19" s="831">
        <f t="shared" si="14"/>
        <v>4430</v>
      </c>
      <c r="AB19" s="831">
        <f t="shared" si="14"/>
        <v>10524</v>
      </c>
      <c r="AC19" s="831">
        <f t="shared" si="14"/>
        <v>5121</v>
      </c>
      <c r="AD19" s="831">
        <f t="shared" si="14"/>
        <v>0</v>
      </c>
      <c r="AE19" s="833">
        <f t="shared" si="14"/>
        <v>0</v>
      </c>
      <c r="AF19" s="834">
        <f t="shared" si="14"/>
        <v>0</v>
      </c>
      <c r="AG19" s="835">
        <f t="shared" si="14"/>
        <v>0</v>
      </c>
      <c r="AH19" s="833">
        <f t="shared" si="14"/>
        <v>0</v>
      </c>
      <c r="AI19" s="823">
        <f t="shared" si="14"/>
        <v>1343</v>
      </c>
      <c r="AJ19" s="823">
        <f t="shared" si="14"/>
        <v>0</v>
      </c>
      <c r="AK19" s="833">
        <f t="shared" si="14"/>
        <v>0</v>
      </c>
      <c r="AL19" s="887">
        <f>IF(ISNUMBER(NºAsuntos!G19/NºAsuntos!E19),NºAsuntos!G19/NºAsuntos!E19," - ")</f>
        <v>1.0800770983003329</v>
      </c>
      <c r="AM19" s="888">
        <f>IF(ISNUMBER(((NºAsuntos!I19/NºAsuntos!G19)*11)/factor_trimestre),((NºAsuntos!I19/NºAsuntos!G19)*11)/factor_trimestre," - ")</f>
        <v>6.4341336794289425</v>
      </c>
      <c r="AN19" s="888">
        <f>IF(ISNUMBER('Resol  Asuntos'!D19/NºAsuntos!G19),'Resol  Asuntos'!D19/NºAsuntos!G19," - ")</f>
        <v>0.21787800129785853</v>
      </c>
      <c r="AO19" s="889">
        <f>IF(ISNUMBER((NºAsuntos!C19+NºAsuntos!E19)/NºAsuntos!G19),(NºAsuntos!C19+NºAsuntos!E19)/NºAsuntos!G19," - ")</f>
        <v>3.1421155094094742</v>
      </c>
      <c r="AP19" s="890" t="str">
        <f t="shared" si="2"/>
        <v xml:space="preserve"> - </v>
      </c>
      <c r="AQ19" s="891">
        <f>IF(OR(ISNUMBER(FIND("01",Criterios!A8,1)),ISNUMBER(FIND("02",Criterios!A8,1)),ISNUMBER(FIND("03",Criterios!A8,1)),ISNUMBER(FIND("04",Criterios!A8,1))),(I19-W19+K19)/(F19-K19),(H19-W19+K19)/(F19-K19))</f>
        <v>-0.64630747793776122</v>
      </c>
      <c r="AR19" s="892">
        <f>IF(ISNUMBER((Datos!P19-Datos!Q19)/(Datos!R19-Datos!P19+Datos!Q19)),(Datos!P19-Datos!Q19)/(Datos!R19-Datos!P19+Datos!Q19)," - ")</f>
        <v>1.7598143492554633E-2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3.018461712712472</v>
      </c>
      <c r="F21" s="255">
        <f>IF(ISNUMBER(STDEV(F8:F18)),STDEV(F8:F18),"-")</f>
        <v>2386.7660128299131</v>
      </c>
      <c r="G21" s="256">
        <f>IF(ISNUMBER(STDEV(G8:G18)),STDEV(G8:G18),"-")</f>
        <v>2309.8467481631765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1375.9511982624965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328.91068406976092</v>
      </c>
      <c r="AJ21" s="255">
        <f t="shared" si="18"/>
        <v>0</v>
      </c>
      <c r="AK21" s="257">
        <f t="shared" si="18"/>
        <v>0</v>
      </c>
      <c r="AL21" s="252">
        <f t="shared" si="18"/>
        <v>8.1885072131959946E-2</v>
      </c>
      <c r="AM21" s="253">
        <f t="shared" si="18"/>
        <v>2.2531759604361952</v>
      </c>
      <c r="AN21" s="253">
        <f t="shared" si="18"/>
        <v>0.1176258492222287</v>
      </c>
      <c r="AO21" s="254">
        <f t="shared" si="18"/>
        <v>0.75226261161461605</v>
      </c>
      <c r="AP21" s="294" t="str">
        <f t="shared" si="18"/>
        <v>-</v>
      </c>
      <c r="AQ21" s="295">
        <f t="shared" si="18"/>
        <v>0.13073253280076891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2Mp1WzthPWkMIz+8XxRTwfh1Z0MenVcMLqKOjEow2fPFWuJylsWNMJ8yvgrAA0hAEzfaZGO5ip1LhhQsUBFpsA==" saltValue="Ex+RTXPxdcDN3Mi2OaXt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ALBACETE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-0.17055214723926379</v>
      </c>
      <c r="I9" s="353">
        <f>IF(ISNUMBER((Tasas!C9-Datos!BE9)/Datos!BE9),(Tasas!C9-Datos!BE9)/Datos!BE9," - ")</f>
        <v>0.47779598197677708</v>
      </c>
      <c r="J9" s="352">
        <f>IF(ISNUMBER((Tasas!D9-Datos!BF9)/Datos!BF9),(Tasas!D9-Datos!BF9)/Datos!BF9," - ")</f>
        <v>-0.2339789075139464</v>
      </c>
      <c r="K9" s="354">
        <f>IF(ISNUMBER((Tasas!E9-Datos!BG9)/Datos!BG9),(Tasas!E9-Datos!BG9)/Datos!BG9," - ")</f>
        <v>0.31197432731534946</v>
      </c>
      <c r="M9" t="e">
        <f>IF(Monitorios="SI",Datos!CE9,0)</f>
        <v>#REF!</v>
      </c>
      <c r="N9" t="e">
        <f>IF(Monitorios="SI",Datos!CF9,0)</f>
        <v>#REF!</v>
      </c>
      <c r="O9" t="e">
        <f>IF(Monitorios="SI",Datos!CG9,0)</f>
        <v>#REF!</v>
      </c>
      <c r="P9" t="e">
        <f>IF(Monitorios="SI",Datos!CH9,0)</f>
        <v>#REF!</v>
      </c>
      <c r="Q9">
        <f>IF(J_V="SI",0,Datos!AG9)</f>
        <v>139</v>
      </c>
      <c r="R9">
        <f>IF(J_V="SI",0,Datos!AH9)</f>
        <v>157</v>
      </c>
      <c r="S9">
        <f>IF(J_V="SI",0,Datos!AI9)</f>
        <v>160</v>
      </c>
      <c r="T9">
        <f>IF(J_V="SI",0,Datos!AJ9)</f>
        <v>136</v>
      </c>
    </row>
    <row r="10" spans="2:20" ht="14.25">
      <c r="B10" s="278" t="s">
        <v>249</v>
      </c>
      <c r="C10" s="7" t="str">
        <f>Datos!A10</f>
        <v>Jdos. Violencia contra la mujer</v>
      </c>
      <c r="D10" s="355">
        <f>IF(ISNUMBER((Datos!I10-Datos!S10)/Datos!S10),(Datos!I10-Datos!S10)/Datos!S10," - ")</f>
        <v>-4.4444444444444446E-2</v>
      </c>
      <c r="E10" s="351">
        <f>IF(ISNUMBER((Datos!J10-Datos!T10)/Datos!T10),(Datos!J10-Datos!T10)/Datos!T10," - ")</f>
        <v>0.27586206896551724</v>
      </c>
      <c r="F10" s="351">
        <f>IF(ISNUMBER((Datos!K10-Datos!U10)/Datos!U10),(Datos!K10-Datos!U10)/Datos!U10," - ")</f>
        <v>0.29032258064516131</v>
      </c>
      <c r="G10" s="352">
        <f>IF(ISNUMBER((Datos!L10-Datos!V10)/Datos!V10),(Datos!L10-Datos!V10)/Datos!V10," - ")</f>
        <v>-5.6818181818181816E-2</v>
      </c>
      <c r="H10" s="233">
        <f>IF(ISNUMBER((Datos!M10-Datos!W10)/Datos!W10),(Datos!M10-Datos!W10)/Datos!W10," - ")</f>
        <v>0.8</v>
      </c>
      <c r="I10" s="353">
        <f>IF(ISNUMBER((Tasas!C10-Datos!BE10)/Datos!BE10),(Tasas!C10-Datos!BE10)/Datos!BE10," - ")</f>
        <v>-0.26903409090909086</v>
      </c>
      <c r="J10" s="352">
        <f>IF(ISNUMBER((Tasas!D10-Datos!BF10)/Datos!BF10),(Tasas!D10-Datos!BF10)/Datos!BF10," - ")</f>
        <v>0.39500000000000007</v>
      </c>
      <c r="K10" s="354">
        <f>IF(ISNUMBER((Tasas!E10-Datos!BG10)/Datos!BG10),(Tasas!E10-Datos!BG10)/Datos!BG10," - ")</f>
        <v>-0.19894957983193276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7.2222222222222215E-2</v>
      </c>
      <c r="I11" s="353">
        <f>IF(ISNUMBER((Tasas!C11-Datos!BE11)/Datos!BE11),(Tasas!C11-Datos!BE11)/Datos!BE11," - ")</f>
        <v>2.5382977914623378E-2</v>
      </c>
      <c r="J11" s="352">
        <f>IF(ISNUMBER((Tasas!D11-Datos!BF11)/Datos!BF11),(Tasas!D11-Datos!BF11)/Datos!BF11," - ")</f>
        <v>-0.49511778859604944</v>
      </c>
      <c r="K11" s="354">
        <f>IF(ISNUMBER((Tasas!E11-Datos!BG11)/Datos!BG11),(Tasas!E11-Datos!BG11)/Datos!BG11," - ")</f>
        <v>8.0490326391965752E-3</v>
      </c>
      <c r="M11" t="e">
        <f>IF(Monitorios="SI",Datos!CE11,0)</f>
        <v>#REF!</v>
      </c>
      <c r="N11" t="e">
        <f>IF(Monitorios="SI",Datos!CF11,0)</f>
        <v>#REF!</v>
      </c>
      <c r="O11" t="e">
        <f>IF(Monitorios="SI",Datos!CG11,0)</f>
        <v>#REF!</v>
      </c>
      <c r="P11" t="e">
        <f>IF(Monitorios="SI",Datos!CH11,0)</f>
        <v>#REF!</v>
      </c>
      <c r="Q11">
        <f>IF(J_V="SI",0,Datos!AG11)</f>
        <v>72</v>
      </c>
      <c r="R11">
        <f>IF(J_V="SI",0,Datos!AH11)</f>
        <v>247</v>
      </c>
      <c r="S11">
        <f>IF(J_V="SI",0,Datos!AI11)</f>
        <v>229</v>
      </c>
      <c r="T11">
        <f>IF(J_V="SI",0,Datos!AJ11)</f>
        <v>90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-0.11741293532338308</v>
      </c>
      <c r="I13" s="360">
        <f>IF(ISNUMBER((Tasas!C13-Datos!BE13)/Datos!BE13),(Tasas!C13-Datos!BE13)/Datos!BE13," - ")</f>
        <v>0.41038733527546678</v>
      </c>
      <c r="J13" s="358">
        <f>IF(ISNUMBER((Tasas!D13-Datos!BF13)/Datos!BF13),(Tasas!D13-Datos!BF13)/Datos!BF13," - ")</f>
        <v>-0.29870686655252576</v>
      </c>
      <c r="K13" s="361">
        <f>IF(ISNUMBER((Tasas!E13-Datos!BG13)/Datos!BG13),(Tasas!E13-Datos!BG13)/Datos!BG13," - ")</f>
        <v>0.2578270814206714</v>
      </c>
      <c r="M13" t="e">
        <f>IF(Monitorios="SI",Datos!CE13,0)</f>
        <v>#REF!</v>
      </c>
      <c r="N13" t="e">
        <f>IF(Monitorios="SI",Datos!CF13,0)</f>
        <v>#REF!</v>
      </c>
      <c r="O13" t="e">
        <f>IF(Monitorios="SI",Datos!CG13,0)</f>
        <v>#REF!</v>
      </c>
      <c r="P13" t="e">
        <f>IF(Monitorios="SI",Datos!CH13,0)</f>
        <v>#REF!</v>
      </c>
      <c r="Q13">
        <f>IF(J_V="SI",0,Datos!AG13)</f>
        <v>211</v>
      </c>
      <c r="R13">
        <f>IF(J_V="SI",0,Datos!AH13)</f>
        <v>404</v>
      </c>
      <c r="S13">
        <f>IF(J_V="SI",0,Datos!AI13)</f>
        <v>389</v>
      </c>
      <c r="T13">
        <f>IF(J_V="SI",0,Datos!AJ13)</f>
        <v>226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0.37181996086105673</v>
      </c>
      <c r="E15" s="351">
        <f>IF(ISNUMBER(
   IF(D_I="SI",(Datos!J15-Datos!T15)/Datos!T15,(Datos!J15+Datos!AD15-(Datos!T15+Datos!AL15))/(Datos!T15+Datos!AL15))
     ),IF(D_I="SI",(Datos!J15-Datos!T15)/Datos!T15,(Datos!J15+Datos!AD15-(Datos!T15+Datos!AL15))/(Datos!T15+Datos!AL15))," - ")</f>
        <v>5.4629629629629632E-2</v>
      </c>
      <c r="F15" s="351">
        <f>IF(ISNUMBER(
   IF(D_I="SI",(Datos!K15-Datos!U15)/Datos!U15,(Datos!K15+Datos!AE15-(Datos!U15+Datos!AM15))/(Datos!U15+Datos!AM15))
     ),IF(D_I="SI",(Datos!K15-Datos!U15)/Datos!U15,(Datos!K15+Datos!AE15-(Datos!U15+Datos!AM15))/(Datos!U15+Datos!AM15))," - ")</f>
        <v>0.29765013054830286</v>
      </c>
      <c r="G15" s="352">
        <f>IF(ISNUMBER(
   IF(D_I="SI",(Datos!L15-Datos!V15)/Datos!V15,(Datos!L15+Datos!AF15-(Datos!V15+Datos!AN15))/(Datos!V15+Datos!AN15))
     ),IF(D_I="SI",(Datos!L15-Datos!V15)/Datos!V15,(Datos!L15+Datos!AF15-(Datos!V15+Datos!AN15))/(Datos!V15+Datos!AN15))," - ")</f>
        <v>0.21019300361881785</v>
      </c>
      <c r="H15" s="233">
        <f>IF(ISNUMBER((Datos!M15-Datos!W15)/Datos!W15),(Datos!M15-Datos!W15)/Datos!W15," - ")</f>
        <v>0.29376854599406527</v>
      </c>
      <c r="I15" s="353">
        <f>IF(ISNUMBER((Tasas!C15-Datos!BE15)/Datos!BE15),(Tasas!C15-Datos!BE15)/Datos!BE15," - ")</f>
        <v>-6.7396538458737928E-2</v>
      </c>
      <c r="J15" s="352">
        <f>IF(ISNUMBER((Tasas!D15-Datos!BF15)/Datos!BF15),(Tasas!D15-Datos!BF15)/Datos!BF15," - ")</f>
        <v>-2.9912412158410828E-3</v>
      </c>
      <c r="K15" s="354">
        <f>IF(ISNUMBER((Tasas!E15-Datos!BG15)/Datos!BG15),(Tasas!E15-Datos!BG15)/Datos!BG15," - ")</f>
        <v>-4.3872111351615256E-2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0.24731182795698925</v>
      </c>
      <c r="E17" s="351">
        <f>IF(ISNUMBER(
   IF(D_I="SI",(Datos!J17-Datos!T17)/Datos!T17,(Datos!J17+Datos!AD17-(Datos!T17+Datos!AL17))/(Datos!T17+Datos!AL17))
     ),IF(D_I="SI",(Datos!J17-Datos!T17)/Datos!T17,(Datos!J17+Datos!AD17-(Datos!T17+Datos!AL17))/(Datos!T17+Datos!AL17))," - ")</f>
        <v>0.22</v>
      </c>
      <c r="F17" s="351">
        <f>IF(ISNUMBER(
   IF(D_I="SI",(Datos!K17-Datos!U17)/Datos!U17,(Datos!K17+Datos!AE17-(Datos!U17+Datos!AM17))/(Datos!U17+Datos!AM17))
     ),IF(D_I="SI",(Datos!K17-Datos!U17)/Datos!U17,(Datos!K17+Datos!AE17-(Datos!U17+Datos!AM17))/(Datos!U17+Datos!AM17))," - ")</f>
        <v>0.24637681159420291</v>
      </c>
      <c r="G17" s="352">
        <f>IF(ISNUMBER(
   IF(D_I="SI",(Datos!L17-Datos!V17)/Datos!V17,(Datos!L17+Datos!AF17-(Datos!V17+Datos!AN17))/(Datos!V17+Datos!AN17))
     ),IF(D_I="SI",(Datos!L17-Datos!V17)/Datos!V17,(Datos!L17+Datos!AF17-(Datos!V17+Datos!AN17))/(Datos!V17+Datos!AN17))," - ")</f>
        <v>0.21897810218978103</v>
      </c>
      <c r="H17" s="233">
        <f>IF(ISNUMBER((Datos!M17-Datos!W17)/Datos!W17),(Datos!M17-Datos!W17)/Datos!W17," - ")</f>
        <v>1.2222222222222223</v>
      </c>
      <c r="I17" s="353">
        <f>IF(ISNUMBER((Tasas!C17-Datos!BE17)/Datos!BE17),(Tasas!C17-Datos!BE17)/Datos!BE17," - ")</f>
        <v>-2.1982685452385013E-2</v>
      </c>
      <c r="J17" s="352">
        <f>IF(ISNUMBER((Tasas!D17-Datos!BF17)/Datos!BF17),(Tasas!D17-Datos!BF17)/Datos!BF17," - ")</f>
        <v>0.78294573643410859</v>
      </c>
      <c r="K17" s="354">
        <f>IF(ISNUMBER((Tasas!E17-Datos!BG17)/Datos!BG17),(Tasas!E17-Datos!BG17)/Datos!BG17," - ")</f>
        <v>-8.3992814487546651E-3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0.36143497757847531</v>
      </c>
      <c r="E18" s="357">
        <f>IF(ISNUMBER(
   IF(D_I="SI",(Datos!J18-Datos!T18)/Datos!T18,(Datos!J18+Datos!AD18-(Datos!T18+Datos!AL18))/(Datos!T18+Datos!AL18))
     ),IF(D_I="SI",(Datos!J18-Datos!T18)/Datos!T18,(Datos!J18+Datos!AD18-(Datos!T18+Datos!AL18))/(Datos!T18+Datos!AL18))," - ")</f>
        <v>6.864406779661017E-2</v>
      </c>
      <c r="F18" s="357">
        <f>IF(ISNUMBER(
   IF(D_I="SI",(Datos!K18-Datos!U18)/Datos!U18,(Datos!K18+Datos!AE18-(Datos!U18+Datos!AM18))/(Datos!U18+Datos!AM18))
     ),IF(D_I="SI",(Datos!K18-Datos!U18)/Datos!U18,(Datos!K18+Datos!AE18-(Datos!U18+Datos!AM18))/(Datos!U18+Datos!AM18))," - ")</f>
        <v>0.29264844486333647</v>
      </c>
      <c r="G18" s="358">
        <f>IF(ISNUMBER(
   IF(D_I="SI",(Datos!L18-Datos!V18)/Datos!V18,(Datos!L18+Datos!AF18-(Datos!V18+Datos!AN18))/(Datos!V18+Datos!AN18))
     ),IF(D_I="SI",(Datos!L18-Datos!V18)/Datos!V18,(Datos!L18+Datos!AF18-(Datos!V18+Datos!AN18))/(Datos!V18+Datos!AN18))," - ")</f>
        <v>0.21086350974930362</v>
      </c>
      <c r="H18" s="359">
        <f>IF(ISNUMBER((Datos!M18-Datos!W18)/Datos!W18),(Datos!M18-Datos!W18)/Datos!W18," - ")</f>
        <v>0.31791907514450868</v>
      </c>
      <c r="I18" s="360">
        <f>IF(ISNUMBER((Tasas!C18-Datos!BE18)/Datos!BE18),(Tasas!C18-Datos!BE18)/Datos!BE18," - ")</f>
        <v>-6.326927900546031E-2</v>
      </c>
      <c r="J18" s="358">
        <f>IF(ISNUMBER((Tasas!D18-Datos!BF18)/Datos!BF18),(Tasas!D18-Datos!BF18)/Datos!BF18," - ")</f>
        <v>1.9549499619630754E-2</v>
      </c>
      <c r="K18" s="361">
        <f>IF(ISNUMBER((Tasas!E18-Datos!BG18)/Datos!BG18),(Tasas!E18-Datos!BG18)/Datos!BG18," - ")</f>
        <v>-4.0485046311813294E-2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0.53926760563380283</v>
      </c>
      <c r="E19" s="366">
        <f>IF(ISNUMBER(
   IF(J_V="SI",(Datos!J19-Datos!T19)/Datos!T19,(Datos!J19+Datos!Z19-(Datos!T19+Datos!AH19))/(Datos!T19+Datos!AH19))
     ),IF(J_V="SI",(Datos!J19-Datos!T19)/Datos!T19,(Datos!J19+Datos!Z19-(Datos!T19+Datos!AH19))/(Datos!T19+Datos!AH19))," - ")</f>
        <v>-8.1682307959680227E-3</v>
      </c>
      <c r="F19" s="366">
        <f>IF(ISNUMBER(
   IF(J_V="SI",(Datos!K19-Datos!U19)/Datos!U19,(Datos!K19+Datos!AA19-(Datos!U19+Datos!AI19))/(Datos!U19+Datos!AI19))
     ),IF(J_V="SI",(Datos!K19-Datos!U19)/Datos!U19,(Datos!K19+Datos!AA19-(Datos!U19+Datos!AI19))/(Datos!U19+Datos!AI19))," - ")</f>
        <v>0.17499046892870759</v>
      </c>
      <c r="G19" s="367">
        <f>IF(ISNUMBER(
   IF(J_V="SI",(Datos!L19-Datos!V19)/Datos!V19,(Datos!L19+Datos!AB19-(Datos!V19+Datos!AJ19))/(Datos!V19+Datos!AJ19))
     ),IF(J_V="SI",(Datos!L19-Datos!V19)/Datos!V19,(Datos!L19+Datos!AB19-(Datos!V19+Datos!AJ19))/(Datos!V19+Datos!AJ19))," - ")</f>
        <v>0.41617568291376539</v>
      </c>
      <c r="H19" s="368">
        <f>IF(ISNUMBER((Datos!M19-Datos!W19)/Datos!W19),(Datos!M19-Datos!W19)/Datos!W19," - ")</f>
        <v>-5.9215396002960767E-3</v>
      </c>
      <c r="I19" s="365">
        <f>IF(ISNUMBER((Tasas!C19-Datos!BE19)/Datos!BE19),(Tasas!C19-Datos!BE19)/Datos!BE19," - ")</f>
        <v>0.20526567692498598</v>
      </c>
      <c r="J19" s="366">
        <f>IF(ISNUMBER((Tasas!D19-Datos!BF19)/Datos!BF19),(Tasas!D19-Datos!BF19)/Datos!BF19," - ")</f>
        <v>-0.23851565968783087</v>
      </c>
      <c r="K19" s="367">
        <f>IF(ISNUMBER((Tasas!E19-Datos!BG19)/Datos!BG19),(Tasas!E19-Datos!BG19)/Datos!BG19," - ")</f>
        <v>0.12677134201668611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0.19402965820292911</v>
      </c>
      <c r="E21" s="281">
        <f t="shared" si="1"/>
        <v>0.11009694404583448</v>
      </c>
      <c r="F21" s="281">
        <f t="shared" si="1"/>
        <v>2.3779135446643559E-2</v>
      </c>
      <c r="G21" s="282">
        <f t="shared" si="1"/>
        <v>0.13514052117683242</v>
      </c>
      <c r="H21" s="288">
        <f t="shared" si="1"/>
        <v>0.50562302954407135</v>
      </c>
      <c r="I21" s="280">
        <f t="shared" si="1"/>
        <v>0.27208905142017287</v>
      </c>
      <c r="J21" s="281">
        <f t="shared" si="1"/>
        <v>0.43866536990408656</v>
      </c>
      <c r="K21" s="282">
        <f t="shared" si="1"/>
        <v>0.18045586205728939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mOkre0j3I8KzxN6a40u77Vv8oJrwcEVDUXhd4vmHJDpO/kwG94mECtD/4kn5yRXcz+IUOpoTbv2phUuB0af5Q==" saltValue="cWUWvKLobnsnnAY2+aQh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